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08" yWindow="-12" windowWidth="11544" windowHeight="9660"/>
  </bookViews>
  <sheets>
    <sheet name="Смета по ТСН-2001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по ТСН-2001'!$27:$27</definedName>
    <definedName name="_xlnm.Print_Area" localSheetId="0">'Смета по ТСН-2001'!$A$1:$K$111</definedName>
  </definedNames>
  <calcPr calcId="145621"/>
</workbook>
</file>

<file path=xl/calcChain.xml><?xml version="1.0" encoding="utf-8"?>
<calcChain xmlns="http://schemas.openxmlformats.org/spreadsheetml/2006/main">
  <c r="A6" i="5" l="1"/>
  <c r="K102" i="5"/>
  <c r="K101" i="5"/>
  <c r="K100" i="5"/>
  <c r="K99" i="5"/>
  <c r="C109" i="5" l="1"/>
  <c r="C106" i="5"/>
  <c r="J22" i="5"/>
  <c r="J19" i="5"/>
  <c r="J18" i="5"/>
  <c r="J17" i="5"/>
  <c r="J16" i="5"/>
  <c r="J15" i="5"/>
  <c r="J14" i="5"/>
  <c r="I22" i="5"/>
  <c r="I98" i="5"/>
  <c r="J98" i="5"/>
  <c r="I97" i="5"/>
  <c r="J97" i="5"/>
  <c r="J94" i="5"/>
  <c r="C94" i="5"/>
  <c r="J93" i="5"/>
  <c r="C93" i="5"/>
  <c r="J92" i="5"/>
  <c r="C92" i="5"/>
  <c r="J91" i="5"/>
  <c r="C91" i="5"/>
  <c r="J90" i="5"/>
  <c r="C90" i="5"/>
  <c r="J89" i="5"/>
  <c r="C89" i="5"/>
  <c r="J88" i="5"/>
  <c r="C88" i="5"/>
  <c r="J87" i="5"/>
  <c r="C87" i="5"/>
  <c r="J86" i="5"/>
  <c r="C86" i="5"/>
  <c r="I85" i="5"/>
  <c r="J85" i="5"/>
  <c r="I84" i="5"/>
  <c r="J84" i="5"/>
  <c r="I81" i="5"/>
  <c r="J81" i="5"/>
  <c r="I80" i="5"/>
  <c r="J80" i="5"/>
  <c r="A79" i="5"/>
  <c r="AA76" i="5"/>
  <c r="Y76" i="5"/>
  <c r="X76" i="5"/>
  <c r="K75" i="5"/>
  <c r="P76" i="5" s="1"/>
  <c r="J75" i="5"/>
  <c r="I75" i="5"/>
  <c r="Z76" i="5" s="1"/>
  <c r="H75" i="5"/>
  <c r="G75" i="5"/>
  <c r="F75" i="5"/>
  <c r="V75" i="5"/>
  <c r="T75" i="5"/>
  <c r="R75" i="5"/>
  <c r="U75" i="5"/>
  <c r="S75" i="5"/>
  <c r="Q75" i="5"/>
  <c r="E75" i="5"/>
  <c r="D75" i="5"/>
  <c r="A75" i="5"/>
  <c r="AA73" i="5"/>
  <c r="Y73" i="5"/>
  <c r="X73" i="5"/>
  <c r="K72" i="5"/>
  <c r="P73" i="5" s="1"/>
  <c r="J72" i="5"/>
  <c r="I72" i="5"/>
  <c r="O73" i="5" s="1"/>
  <c r="H72" i="5"/>
  <c r="G72" i="5"/>
  <c r="F72" i="5"/>
  <c r="V72" i="5"/>
  <c r="T72" i="5"/>
  <c r="R72" i="5"/>
  <c r="U72" i="5"/>
  <c r="S72" i="5"/>
  <c r="Q72" i="5"/>
  <c r="E72" i="5"/>
  <c r="D72" i="5"/>
  <c r="A72" i="5"/>
  <c r="AA70" i="5"/>
  <c r="Y70" i="5"/>
  <c r="X70" i="5"/>
  <c r="K69" i="5"/>
  <c r="P70" i="5" s="1"/>
  <c r="J69" i="5"/>
  <c r="I69" i="5"/>
  <c r="O70" i="5" s="1"/>
  <c r="H69" i="5"/>
  <c r="G69" i="5"/>
  <c r="F69" i="5"/>
  <c r="V69" i="5"/>
  <c r="T69" i="5"/>
  <c r="R69" i="5"/>
  <c r="U69" i="5"/>
  <c r="S69" i="5"/>
  <c r="Q69" i="5"/>
  <c r="E69" i="5"/>
  <c r="D69" i="5"/>
  <c r="A69" i="5"/>
  <c r="A68" i="5"/>
  <c r="I66" i="5"/>
  <c r="J66" i="5"/>
  <c r="I65" i="5"/>
  <c r="J65" i="5"/>
  <c r="A64" i="5"/>
  <c r="AA61" i="5"/>
  <c r="Z61" i="5"/>
  <c r="X61" i="5"/>
  <c r="I60" i="5"/>
  <c r="AB60" i="5" s="1"/>
  <c r="H60" i="5"/>
  <c r="G60" i="5"/>
  <c r="E60" i="5"/>
  <c r="J59" i="5"/>
  <c r="E59" i="5"/>
  <c r="J58" i="5"/>
  <c r="E58" i="5"/>
  <c r="J57" i="5"/>
  <c r="E57" i="5"/>
  <c r="K56" i="5"/>
  <c r="J56" i="5"/>
  <c r="I56" i="5"/>
  <c r="H56" i="5"/>
  <c r="G56" i="5"/>
  <c r="F56" i="5"/>
  <c r="K55" i="5"/>
  <c r="J55" i="5"/>
  <c r="I55" i="5"/>
  <c r="W55" i="5" s="1"/>
  <c r="H55" i="5"/>
  <c r="G55" i="5"/>
  <c r="F55" i="5"/>
  <c r="K54" i="5"/>
  <c r="J54" i="5"/>
  <c r="I54" i="5"/>
  <c r="H54" i="5"/>
  <c r="G54" i="5"/>
  <c r="F54" i="5"/>
  <c r="K53" i="5"/>
  <c r="J53" i="5"/>
  <c r="I53" i="5"/>
  <c r="H53" i="5"/>
  <c r="G53" i="5"/>
  <c r="F53" i="5"/>
  <c r="V52" i="5"/>
  <c r="K59" i="5" s="1"/>
  <c r="T52" i="5"/>
  <c r="K58" i="5" s="1"/>
  <c r="R52" i="5"/>
  <c r="K57" i="5" s="1"/>
  <c r="U52" i="5"/>
  <c r="I59" i="5" s="1"/>
  <c r="S52" i="5"/>
  <c r="I58" i="5" s="1"/>
  <c r="Q52" i="5"/>
  <c r="I57" i="5" s="1"/>
  <c r="E52" i="5"/>
  <c r="D52" i="5"/>
  <c r="B52" i="5"/>
  <c r="A52" i="5"/>
  <c r="AA50" i="5"/>
  <c r="Z50" i="5"/>
  <c r="X50" i="5"/>
  <c r="I49" i="5"/>
  <c r="AB49" i="5" s="1"/>
  <c r="H49" i="5"/>
  <c r="G49" i="5"/>
  <c r="E49" i="5"/>
  <c r="J48" i="5"/>
  <c r="E48" i="5"/>
  <c r="J47" i="5"/>
  <c r="E47" i="5"/>
  <c r="J46" i="5"/>
  <c r="E46" i="5"/>
  <c r="K45" i="5"/>
  <c r="J45" i="5"/>
  <c r="I45" i="5"/>
  <c r="W45" i="5" s="1"/>
  <c r="H45" i="5"/>
  <c r="G45" i="5"/>
  <c r="F45" i="5"/>
  <c r="K44" i="5"/>
  <c r="J44" i="5"/>
  <c r="I44" i="5"/>
  <c r="H44" i="5"/>
  <c r="G44" i="5"/>
  <c r="F44" i="5"/>
  <c r="K43" i="5"/>
  <c r="J43" i="5"/>
  <c r="I43" i="5"/>
  <c r="H43" i="5"/>
  <c r="G43" i="5"/>
  <c r="F43" i="5"/>
  <c r="V42" i="5"/>
  <c r="K48" i="5" s="1"/>
  <c r="T42" i="5"/>
  <c r="K47" i="5" s="1"/>
  <c r="R42" i="5"/>
  <c r="K46" i="5" s="1"/>
  <c r="U42" i="5"/>
  <c r="I48" i="5" s="1"/>
  <c r="S42" i="5"/>
  <c r="I47" i="5" s="1"/>
  <c r="Q42" i="5"/>
  <c r="I46" i="5" s="1"/>
  <c r="E42" i="5"/>
  <c r="D42" i="5"/>
  <c r="B42" i="5"/>
  <c r="A42" i="5"/>
  <c r="AA40" i="5"/>
  <c r="Z40" i="5"/>
  <c r="X40" i="5"/>
  <c r="I39" i="5"/>
  <c r="AB39" i="5" s="1"/>
  <c r="H39" i="5"/>
  <c r="G39" i="5"/>
  <c r="E39" i="5"/>
  <c r="J38" i="5"/>
  <c r="E38" i="5"/>
  <c r="J37" i="5"/>
  <c r="E37" i="5"/>
  <c r="J36" i="5"/>
  <c r="E36" i="5"/>
  <c r="K35" i="5"/>
  <c r="J35" i="5"/>
  <c r="I35" i="5"/>
  <c r="H35" i="5"/>
  <c r="G35" i="5"/>
  <c r="F35" i="5"/>
  <c r="K34" i="5"/>
  <c r="J34" i="5"/>
  <c r="I34" i="5"/>
  <c r="W34" i="5" s="1"/>
  <c r="H34" i="5"/>
  <c r="G34" i="5"/>
  <c r="F34" i="5"/>
  <c r="K33" i="5"/>
  <c r="J33" i="5"/>
  <c r="I33" i="5"/>
  <c r="H33" i="5"/>
  <c r="G33" i="5"/>
  <c r="F33" i="5"/>
  <c r="K32" i="5"/>
  <c r="J32" i="5"/>
  <c r="I32" i="5"/>
  <c r="H32" i="5"/>
  <c r="G32" i="5"/>
  <c r="F32" i="5"/>
  <c r="V31" i="5"/>
  <c r="K38" i="5" s="1"/>
  <c r="T31" i="5"/>
  <c r="K37" i="5" s="1"/>
  <c r="R31" i="5"/>
  <c r="K36" i="5" s="1"/>
  <c r="U31" i="5"/>
  <c r="I38" i="5" s="1"/>
  <c r="S31" i="5"/>
  <c r="I37" i="5" s="1"/>
  <c r="Q31" i="5"/>
  <c r="I36" i="5" s="1"/>
  <c r="E31" i="5"/>
  <c r="D31" i="5"/>
  <c r="B31" i="5"/>
  <c r="A31" i="5"/>
  <c r="A29" i="5"/>
  <c r="A11" i="5"/>
  <c r="A1" i="5"/>
  <c r="J73" i="5" l="1"/>
  <c r="I15" i="5"/>
  <c r="J79" i="5"/>
  <c r="I18" i="5"/>
  <c r="I20" i="5"/>
  <c r="J70" i="5"/>
  <c r="J76" i="5"/>
  <c r="O76" i="5"/>
  <c r="H79" i="5" s="1"/>
  <c r="J40" i="5"/>
  <c r="P40" i="5"/>
  <c r="O50" i="5"/>
  <c r="O61" i="5"/>
  <c r="O40" i="5"/>
  <c r="J50" i="5"/>
  <c r="Y50" i="5"/>
  <c r="J61" i="5"/>
  <c r="P61" i="5"/>
  <c r="P50" i="5"/>
  <c r="Y40" i="5"/>
  <c r="H50" i="5"/>
  <c r="W53" i="5"/>
  <c r="Y61" i="5"/>
  <c r="W32" i="5"/>
  <c r="I19" i="5" s="1"/>
  <c r="H40" i="5"/>
  <c r="W43" i="5"/>
  <c r="H61" i="5"/>
  <c r="H70" i="5"/>
  <c r="Z70" i="5"/>
  <c r="H73" i="5"/>
  <c r="Z73" i="5"/>
  <c r="H76" i="5"/>
  <c r="A1" i="4"/>
  <c r="A2" i="4"/>
  <c r="A3" i="4"/>
  <c r="A1" i="3"/>
  <c r="CX1" i="3"/>
  <c r="CY1" i="3"/>
  <c r="CZ1" i="3"/>
  <c r="DB1" i="3" s="1"/>
  <c r="DA1" i="3"/>
  <c r="DC1" i="3"/>
  <c r="A2" i="3"/>
  <c r="CX2" i="3"/>
  <c r="CY2" i="3"/>
  <c r="CZ2" i="3"/>
  <c r="DA2" i="3"/>
  <c r="DB2" i="3"/>
  <c r="DC2" i="3"/>
  <c r="A3" i="3"/>
  <c r="CX3" i="3"/>
  <c r="CY3" i="3"/>
  <c r="CZ3" i="3"/>
  <c r="DA3" i="3"/>
  <c r="DB3" i="3"/>
  <c r="DC3" i="3"/>
  <c r="D12" i="1"/>
  <c r="E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BE18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U18" i="1"/>
  <c r="BV18" i="1"/>
  <c r="BW18" i="1"/>
  <c r="BX18" i="1"/>
  <c r="BY18" i="1"/>
  <c r="BZ18" i="1"/>
  <c r="CA18" i="1"/>
  <c r="CB18" i="1"/>
  <c r="CC18" i="1"/>
  <c r="CD18" i="1"/>
  <c r="CE18" i="1"/>
  <c r="CF18" i="1"/>
  <c r="CG18" i="1"/>
  <c r="CH18" i="1"/>
  <c r="CI18" i="1"/>
  <c r="CJ18" i="1"/>
  <c r="CK18" i="1"/>
  <c r="CL18" i="1"/>
  <c r="CM18" i="1"/>
  <c r="CN18" i="1"/>
  <c r="CO18" i="1"/>
  <c r="CP18" i="1"/>
  <c r="CQ18" i="1"/>
  <c r="CR18" i="1"/>
  <c r="CS18" i="1"/>
  <c r="CT18" i="1"/>
  <c r="CU18" i="1"/>
  <c r="CV18" i="1"/>
  <c r="CW18" i="1"/>
  <c r="CX18" i="1"/>
  <c r="CY18" i="1"/>
  <c r="CZ18" i="1"/>
  <c r="DA18" i="1"/>
  <c r="DB18" i="1"/>
  <c r="DC18" i="1"/>
  <c r="DD18" i="1"/>
  <c r="DE18" i="1"/>
  <c r="DF18" i="1"/>
  <c r="DG18" i="1"/>
  <c r="DH18" i="1"/>
  <c r="DI18" i="1"/>
  <c r="DJ18" i="1"/>
  <c r="DK18" i="1"/>
  <c r="DL18" i="1"/>
  <c r="DM18" i="1"/>
  <c r="DN18" i="1"/>
  <c r="DO18" i="1"/>
  <c r="DP18" i="1"/>
  <c r="DQ18" i="1"/>
  <c r="DR18" i="1"/>
  <c r="DS18" i="1"/>
  <c r="DT18" i="1"/>
  <c r="DU18" i="1"/>
  <c r="DV18" i="1"/>
  <c r="DW18" i="1"/>
  <c r="DX18" i="1"/>
  <c r="DY18" i="1"/>
  <c r="DZ18" i="1"/>
  <c r="EA18" i="1"/>
  <c r="EB18" i="1"/>
  <c r="EC18" i="1"/>
  <c r="ED18" i="1"/>
  <c r="EE18" i="1"/>
  <c r="EF18" i="1"/>
  <c r="EG18" i="1"/>
  <c r="EH18" i="1"/>
  <c r="EI18" i="1"/>
  <c r="EJ18" i="1"/>
  <c r="EK18" i="1"/>
  <c r="EL18" i="1"/>
  <c r="EM18" i="1"/>
  <c r="EN18" i="1"/>
  <c r="EO18" i="1"/>
  <c r="EP18" i="1"/>
  <c r="EQ18" i="1"/>
  <c r="ER18" i="1"/>
  <c r="ES18" i="1"/>
  <c r="ET18" i="1"/>
  <c r="EU18" i="1"/>
  <c r="EV18" i="1"/>
  <c r="EW18" i="1"/>
  <c r="EX18" i="1"/>
  <c r="EY18" i="1"/>
  <c r="EZ18" i="1"/>
  <c r="FA18" i="1"/>
  <c r="FB18" i="1"/>
  <c r="FC18" i="1"/>
  <c r="FD18" i="1"/>
  <c r="FE18" i="1"/>
  <c r="FF18" i="1"/>
  <c r="FG18" i="1"/>
  <c r="FH18" i="1"/>
  <c r="FI18" i="1"/>
  <c r="FJ18" i="1"/>
  <c r="FK18" i="1"/>
  <c r="FL18" i="1"/>
  <c r="FM18" i="1"/>
  <c r="FN18" i="1"/>
  <c r="FO18" i="1"/>
  <c r="FP18" i="1"/>
  <c r="FQ18" i="1"/>
  <c r="FR18" i="1"/>
  <c r="FS18" i="1"/>
  <c r="FT18" i="1"/>
  <c r="FU18" i="1"/>
  <c r="FV18" i="1"/>
  <c r="FW18" i="1"/>
  <c r="FX18" i="1"/>
  <c r="FY18" i="1"/>
  <c r="FZ18" i="1"/>
  <c r="GA18" i="1"/>
  <c r="GB18" i="1"/>
  <c r="GC18" i="1"/>
  <c r="GD18" i="1"/>
  <c r="GE18" i="1"/>
  <c r="GF18" i="1"/>
  <c r="GG18" i="1"/>
  <c r="GH18" i="1"/>
  <c r="GI18" i="1"/>
  <c r="GJ18" i="1"/>
  <c r="GK18" i="1"/>
  <c r="GL18" i="1"/>
  <c r="GM18" i="1"/>
  <c r="GN18" i="1"/>
  <c r="GO18" i="1"/>
  <c r="GP18" i="1"/>
  <c r="GQ18" i="1"/>
  <c r="GR18" i="1"/>
  <c r="GS18" i="1"/>
  <c r="GT18" i="1"/>
  <c r="GU18" i="1"/>
  <c r="GV18" i="1"/>
  <c r="GW18" i="1"/>
  <c r="GX18" i="1"/>
  <c r="D20" i="1"/>
  <c r="E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D24" i="1"/>
  <c r="E26" i="1"/>
  <c r="F26" i="1"/>
  <c r="Z26" i="1"/>
  <c r="AA26" i="1"/>
  <c r="AM26" i="1"/>
  <c r="AN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BS26" i="1"/>
  <c r="BT26" i="1"/>
  <c r="BU26" i="1"/>
  <c r="BV26" i="1"/>
  <c r="BW26" i="1"/>
  <c r="BX26" i="1"/>
  <c r="CN26" i="1"/>
  <c r="CO26" i="1"/>
  <c r="CP26" i="1"/>
  <c r="CQ26" i="1"/>
  <c r="CR26" i="1"/>
  <c r="CS26" i="1"/>
  <c r="CT26" i="1"/>
  <c r="CU26" i="1"/>
  <c r="CV26" i="1"/>
  <c r="CW26" i="1"/>
  <c r="CX26" i="1"/>
  <c r="CY26" i="1"/>
  <c r="CZ26" i="1"/>
  <c r="DA26" i="1"/>
  <c r="DB26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EF26" i="1"/>
  <c r="EG26" i="1"/>
  <c r="EH26" i="1"/>
  <c r="EI26" i="1"/>
  <c r="EJ26" i="1"/>
  <c r="EK26" i="1"/>
  <c r="EL26" i="1"/>
  <c r="EM26" i="1"/>
  <c r="EN26" i="1"/>
  <c r="EO26" i="1"/>
  <c r="EP26" i="1"/>
  <c r="EQ26" i="1"/>
  <c r="ER26" i="1"/>
  <c r="ES26" i="1"/>
  <c r="ET26" i="1"/>
  <c r="EU26" i="1"/>
  <c r="EV26" i="1"/>
  <c r="EW26" i="1"/>
  <c r="EX26" i="1"/>
  <c r="EY26" i="1"/>
  <c r="EZ26" i="1"/>
  <c r="FA26" i="1"/>
  <c r="FB26" i="1"/>
  <c r="FC26" i="1"/>
  <c r="FD26" i="1"/>
  <c r="FE26" i="1"/>
  <c r="FF26" i="1"/>
  <c r="FG26" i="1"/>
  <c r="FH26" i="1"/>
  <c r="FI26" i="1"/>
  <c r="FJ26" i="1"/>
  <c r="FK26" i="1"/>
  <c r="FL26" i="1"/>
  <c r="FM26" i="1"/>
  <c r="FN26" i="1"/>
  <c r="FO26" i="1"/>
  <c r="FP26" i="1"/>
  <c r="FQ26" i="1"/>
  <c r="FR26" i="1"/>
  <c r="FS26" i="1"/>
  <c r="FT26" i="1"/>
  <c r="FU26" i="1"/>
  <c r="FV26" i="1"/>
  <c r="FW26" i="1"/>
  <c r="FX26" i="1"/>
  <c r="FY26" i="1"/>
  <c r="FZ26" i="1"/>
  <c r="GA26" i="1"/>
  <c r="GB26" i="1"/>
  <c r="GC26" i="1"/>
  <c r="GD26" i="1"/>
  <c r="GE26" i="1"/>
  <c r="GF26" i="1"/>
  <c r="GG26" i="1"/>
  <c r="GH26" i="1"/>
  <c r="GI26" i="1"/>
  <c r="GJ26" i="1"/>
  <c r="GK26" i="1"/>
  <c r="GL26" i="1"/>
  <c r="GM26" i="1"/>
  <c r="GN26" i="1"/>
  <c r="GO26" i="1"/>
  <c r="GP26" i="1"/>
  <c r="GQ26" i="1"/>
  <c r="GR26" i="1"/>
  <c r="GS26" i="1"/>
  <c r="GT26" i="1"/>
  <c r="GU26" i="1"/>
  <c r="GV26" i="1"/>
  <c r="GW26" i="1"/>
  <c r="GX26" i="1"/>
  <c r="C29" i="1"/>
  <c r="D29" i="1"/>
  <c r="AC29" i="1"/>
  <c r="CQ29" i="1" s="1"/>
  <c r="P29" i="1" s="1"/>
  <c r="AD29" i="1"/>
  <c r="AE29" i="1"/>
  <c r="AF29" i="1"/>
  <c r="AG29" i="1"/>
  <c r="CU29" i="1" s="1"/>
  <c r="T29" i="1" s="1"/>
  <c r="AH29" i="1"/>
  <c r="AI29" i="1"/>
  <c r="AJ29" i="1"/>
  <c r="CR29" i="1"/>
  <c r="Q29" i="1" s="1"/>
  <c r="CS29" i="1"/>
  <c r="R29" i="1" s="1"/>
  <c r="CT29" i="1"/>
  <c r="S29" i="1" s="1"/>
  <c r="CV29" i="1"/>
  <c r="U29" i="1" s="1"/>
  <c r="CW29" i="1"/>
  <c r="V29" i="1" s="1"/>
  <c r="AI33" i="1" s="1"/>
  <c r="CX29" i="1"/>
  <c r="W29" i="1" s="1"/>
  <c r="FR29" i="1"/>
  <c r="GL29" i="1"/>
  <c r="GN29" i="1"/>
  <c r="CB33" i="1" s="1"/>
  <c r="AS33" i="1" s="1"/>
  <c r="F50" i="1" s="1"/>
  <c r="GP29" i="1"/>
  <c r="GV29" i="1"/>
  <c r="GX29" i="1"/>
  <c r="HC29" i="1"/>
  <c r="C30" i="1"/>
  <c r="D30" i="1"/>
  <c r="S30" i="1"/>
  <c r="CZ30" i="1" s="1"/>
  <c r="Y30" i="1" s="1"/>
  <c r="AC30" i="1"/>
  <c r="AB30" i="1" s="1"/>
  <c r="AD30" i="1"/>
  <c r="CR30" i="1" s="1"/>
  <c r="Q30" i="1" s="1"/>
  <c r="AE30" i="1"/>
  <c r="AF30" i="1"/>
  <c r="AG30" i="1"/>
  <c r="AH30" i="1"/>
  <c r="CV30" i="1" s="1"/>
  <c r="U30" i="1" s="1"/>
  <c r="AI30" i="1"/>
  <c r="AJ30" i="1"/>
  <c r="CS30" i="1"/>
  <c r="R30" i="1" s="1"/>
  <c r="CT30" i="1"/>
  <c r="CU30" i="1"/>
  <c r="T30" i="1" s="1"/>
  <c r="AG33" i="1" s="1"/>
  <c r="CW30" i="1"/>
  <c r="V30" i="1" s="1"/>
  <c r="CX30" i="1"/>
  <c r="W30" i="1" s="1"/>
  <c r="FR30" i="1"/>
  <c r="GK30" i="1"/>
  <c r="GL30" i="1"/>
  <c r="GN30" i="1"/>
  <c r="GP30" i="1"/>
  <c r="GV30" i="1"/>
  <c r="HC30" i="1"/>
  <c r="GX30" i="1" s="1"/>
  <c r="C31" i="1"/>
  <c r="D31" i="1"/>
  <c r="T31" i="1"/>
  <c r="AC31" i="1"/>
  <c r="AB31" i="1" s="1"/>
  <c r="AD31" i="1"/>
  <c r="AE31" i="1"/>
  <c r="CS31" i="1" s="1"/>
  <c r="R31" i="1" s="1"/>
  <c r="GK31" i="1" s="1"/>
  <c r="AF31" i="1"/>
  <c r="AG31" i="1"/>
  <c r="AH31" i="1"/>
  <c r="AI31" i="1"/>
  <c r="CW31" i="1" s="1"/>
  <c r="V31" i="1" s="1"/>
  <c r="AJ31" i="1"/>
  <c r="CQ31" i="1"/>
  <c r="P31" i="1" s="1"/>
  <c r="CR31" i="1"/>
  <c r="Q31" i="1" s="1"/>
  <c r="CT31" i="1"/>
  <c r="S31" i="1" s="1"/>
  <c r="CZ31" i="1" s="1"/>
  <c r="Y31" i="1" s="1"/>
  <c r="CU31" i="1"/>
  <c r="CV31" i="1"/>
  <c r="U31" i="1" s="1"/>
  <c r="CX31" i="1"/>
  <c r="W31" i="1" s="1"/>
  <c r="CY31" i="1"/>
  <c r="X31" i="1" s="1"/>
  <c r="FR31" i="1"/>
  <c r="GL31" i="1"/>
  <c r="GN31" i="1"/>
  <c r="GP31" i="1"/>
  <c r="GV31" i="1"/>
  <c r="HC31" i="1" s="1"/>
  <c r="GX31" i="1" s="1"/>
  <c r="B33" i="1"/>
  <c r="B26" i="1" s="1"/>
  <c r="C33" i="1"/>
  <c r="C26" i="1" s="1"/>
  <c r="D33" i="1"/>
  <c r="D26" i="1" s="1"/>
  <c r="F33" i="1"/>
  <c r="G33" i="1"/>
  <c r="G26" i="1" s="1"/>
  <c r="AP33" i="1"/>
  <c r="BB33" i="1"/>
  <c r="BX33" i="1"/>
  <c r="AO33" i="1" s="1"/>
  <c r="AO26" i="1" s="1"/>
  <c r="BY33" i="1"/>
  <c r="BZ33" i="1"/>
  <c r="BZ26" i="1" s="1"/>
  <c r="CD33" i="1"/>
  <c r="CD26" i="1" s="1"/>
  <c r="CK33" i="1"/>
  <c r="CK26" i="1" s="1"/>
  <c r="CL33" i="1"/>
  <c r="CL26" i="1" s="1"/>
  <c r="CM33" i="1"/>
  <c r="BD33" i="1" s="1"/>
  <c r="F58" i="1" s="1"/>
  <c r="F37" i="1"/>
  <c r="D63" i="1"/>
  <c r="E65" i="1"/>
  <c r="Z65" i="1"/>
  <c r="AA65" i="1"/>
  <c r="AM65" i="1"/>
  <c r="AN65" i="1"/>
  <c r="BE65" i="1"/>
  <c r="BF65" i="1"/>
  <c r="BG65" i="1"/>
  <c r="BH65" i="1"/>
  <c r="BI65" i="1"/>
  <c r="BJ65" i="1"/>
  <c r="BK65" i="1"/>
  <c r="BL65" i="1"/>
  <c r="BM65" i="1"/>
  <c r="BN65" i="1"/>
  <c r="BO65" i="1"/>
  <c r="BP65" i="1"/>
  <c r="BQ65" i="1"/>
  <c r="BR65" i="1"/>
  <c r="BS65" i="1"/>
  <c r="BT65" i="1"/>
  <c r="BU65" i="1"/>
  <c r="BV65" i="1"/>
  <c r="BW65" i="1"/>
  <c r="CN65" i="1"/>
  <c r="CO65" i="1"/>
  <c r="CP65" i="1"/>
  <c r="CQ65" i="1"/>
  <c r="CR65" i="1"/>
  <c r="CS65" i="1"/>
  <c r="CT65" i="1"/>
  <c r="CU65" i="1"/>
  <c r="CV65" i="1"/>
  <c r="CW65" i="1"/>
  <c r="CX65" i="1"/>
  <c r="CY65" i="1"/>
  <c r="CZ65" i="1"/>
  <c r="DA65" i="1"/>
  <c r="DB65" i="1"/>
  <c r="DC65" i="1"/>
  <c r="DD65" i="1"/>
  <c r="DE65" i="1"/>
  <c r="DF65" i="1"/>
  <c r="DG65" i="1"/>
  <c r="DH65" i="1"/>
  <c r="DI65" i="1"/>
  <c r="DJ65" i="1"/>
  <c r="DK65" i="1"/>
  <c r="DL65" i="1"/>
  <c r="DM65" i="1"/>
  <c r="DN65" i="1"/>
  <c r="DO65" i="1"/>
  <c r="DP65" i="1"/>
  <c r="DQ65" i="1"/>
  <c r="DR65" i="1"/>
  <c r="DS65" i="1"/>
  <c r="DT65" i="1"/>
  <c r="DU65" i="1"/>
  <c r="DV65" i="1"/>
  <c r="DW65" i="1"/>
  <c r="DX65" i="1"/>
  <c r="DY65" i="1"/>
  <c r="DZ65" i="1"/>
  <c r="EA65" i="1"/>
  <c r="EB65" i="1"/>
  <c r="EC65" i="1"/>
  <c r="ED65" i="1"/>
  <c r="EE65" i="1"/>
  <c r="EF65" i="1"/>
  <c r="EG65" i="1"/>
  <c r="EH65" i="1"/>
  <c r="EI65" i="1"/>
  <c r="EJ65" i="1"/>
  <c r="EK65" i="1"/>
  <c r="EL65" i="1"/>
  <c r="EM65" i="1"/>
  <c r="EN65" i="1"/>
  <c r="EO65" i="1"/>
  <c r="EP65" i="1"/>
  <c r="EQ65" i="1"/>
  <c r="ER65" i="1"/>
  <c r="ES65" i="1"/>
  <c r="ET65" i="1"/>
  <c r="EU65" i="1"/>
  <c r="EV65" i="1"/>
  <c r="EW65" i="1"/>
  <c r="EX65" i="1"/>
  <c r="EY65" i="1"/>
  <c r="EZ65" i="1"/>
  <c r="FA65" i="1"/>
  <c r="FB65" i="1"/>
  <c r="FC65" i="1"/>
  <c r="FD65" i="1"/>
  <c r="FE65" i="1"/>
  <c r="FF65" i="1"/>
  <c r="FG65" i="1"/>
  <c r="FH65" i="1"/>
  <c r="FI65" i="1"/>
  <c r="FJ65" i="1"/>
  <c r="FK65" i="1"/>
  <c r="FL65" i="1"/>
  <c r="FM65" i="1"/>
  <c r="FN65" i="1"/>
  <c r="FO65" i="1"/>
  <c r="FP65" i="1"/>
  <c r="FQ65" i="1"/>
  <c r="FR65" i="1"/>
  <c r="FS65" i="1"/>
  <c r="FT65" i="1"/>
  <c r="FU65" i="1"/>
  <c r="FV65" i="1"/>
  <c r="FW65" i="1"/>
  <c r="FX65" i="1"/>
  <c r="FY65" i="1"/>
  <c r="FZ65" i="1"/>
  <c r="GA65" i="1"/>
  <c r="GB65" i="1"/>
  <c r="GC65" i="1"/>
  <c r="GD65" i="1"/>
  <c r="GE65" i="1"/>
  <c r="GF65" i="1"/>
  <c r="GG65" i="1"/>
  <c r="GH65" i="1"/>
  <c r="GI65" i="1"/>
  <c r="GJ65" i="1"/>
  <c r="GK65" i="1"/>
  <c r="GL65" i="1"/>
  <c r="GM65" i="1"/>
  <c r="GN65" i="1"/>
  <c r="GO65" i="1"/>
  <c r="GP65" i="1"/>
  <c r="GQ65" i="1"/>
  <c r="GR65" i="1"/>
  <c r="GS65" i="1"/>
  <c r="GT65" i="1"/>
  <c r="GU65" i="1"/>
  <c r="GV65" i="1"/>
  <c r="GW65" i="1"/>
  <c r="GX65" i="1"/>
  <c r="AC67" i="1"/>
  <c r="CQ67" i="1" s="1"/>
  <c r="P67" i="1" s="1"/>
  <c r="AD67" i="1"/>
  <c r="AE67" i="1"/>
  <c r="CS67" i="1" s="1"/>
  <c r="R67" i="1" s="1"/>
  <c r="AF67" i="1"/>
  <c r="AG67" i="1"/>
  <c r="CU67" i="1" s="1"/>
  <c r="T67" i="1" s="1"/>
  <c r="AH67" i="1"/>
  <c r="AI67" i="1"/>
  <c r="CW67" i="1" s="1"/>
  <c r="V67" i="1" s="1"/>
  <c r="AI71" i="1" s="1"/>
  <c r="AJ67" i="1"/>
  <c r="CR67" i="1"/>
  <c r="Q67" i="1" s="1"/>
  <c r="CT67" i="1"/>
  <c r="S67" i="1" s="1"/>
  <c r="CV67" i="1"/>
  <c r="U67" i="1" s="1"/>
  <c r="AH71" i="1" s="1"/>
  <c r="CX67" i="1"/>
  <c r="W67" i="1" s="1"/>
  <c r="GL67" i="1"/>
  <c r="GN67" i="1"/>
  <c r="GO67" i="1"/>
  <c r="GP67" i="1"/>
  <c r="GV67" i="1"/>
  <c r="HC67" i="1"/>
  <c r="GX67" i="1" s="1"/>
  <c r="AC68" i="1"/>
  <c r="AD68" i="1"/>
  <c r="CR68" i="1" s="1"/>
  <c r="Q68" i="1" s="1"/>
  <c r="AE68" i="1"/>
  <c r="AF68" i="1"/>
  <c r="AB68" i="1" s="1"/>
  <c r="AG68" i="1"/>
  <c r="AH68" i="1"/>
  <c r="CV68" i="1" s="1"/>
  <c r="U68" i="1" s="1"/>
  <c r="AI68" i="1"/>
  <c r="AJ68" i="1"/>
  <c r="CX68" i="1" s="1"/>
  <c r="W68" i="1" s="1"/>
  <c r="CQ68" i="1"/>
  <c r="P68" i="1" s="1"/>
  <c r="CS68" i="1"/>
  <c r="R68" i="1" s="1"/>
  <c r="GK68" i="1" s="1"/>
  <c r="CU68" i="1"/>
  <c r="T68" i="1" s="1"/>
  <c r="CW68" i="1"/>
  <c r="V68" i="1" s="1"/>
  <c r="GL68" i="1"/>
  <c r="GN68" i="1"/>
  <c r="GO68" i="1"/>
  <c r="GP68" i="1"/>
  <c r="GV68" i="1"/>
  <c r="HC68" i="1" s="1"/>
  <c r="GX68" i="1" s="1"/>
  <c r="AC69" i="1"/>
  <c r="AB69" i="1" s="1"/>
  <c r="AD69" i="1"/>
  <c r="AE69" i="1"/>
  <c r="CS69" i="1" s="1"/>
  <c r="R69" i="1" s="1"/>
  <c r="GK69" i="1" s="1"/>
  <c r="AF69" i="1"/>
  <c r="AG69" i="1"/>
  <c r="CU69" i="1" s="1"/>
  <c r="T69" i="1" s="1"/>
  <c r="AH69" i="1"/>
  <c r="AI69" i="1"/>
  <c r="CW69" i="1" s="1"/>
  <c r="V69" i="1" s="1"/>
  <c r="AJ69" i="1"/>
  <c r="CR69" i="1"/>
  <c r="Q69" i="1" s="1"/>
  <c r="CT69" i="1"/>
  <c r="S69" i="1" s="1"/>
  <c r="CV69" i="1"/>
  <c r="U69" i="1" s="1"/>
  <c r="CX69" i="1"/>
  <c r="W69" i="1" s="1"/>
  <c r="GL69" i="1"/>
  <c r="GN69" i="1"/>
  <c r="GO69" i="1"/>
  <c r="GP69" i="1"/>
  <c r="GV69" i="1"/>
  <c r="HC69" i="1" s="1"/>
  <c r="GX69" i="1" s="1"/>
  <c r="B71" i="1"/>
  <c r="B65" i="1" s="1"/>
  <c r="C71" i="1"/>
  <c r="C65" i="1" s="1"/>
  <c r="D71" i="1"/>
  <c r="D65" i="1" s="1"/>
  <c r="F71" i="1"/>
  <c r="F65" i="1" s="1"/>
  <c r="G71" i="1"/>
  <c r="G65" i="1" s="1"/>
  <c r="BX71" i="1"/>
  <c r="BX65" i="1" s="1"/>
  <c r="BZ71" i="1"/>
  <c r="BZ65" i="1" s="1"/>
  <c r="CB71" i="1"/>
  <c r="CB65" i="1" s="1"/>
  <c r="CC71" i="1"/>
  <c r="CC65" i="1" s="1"/>
  <c r="CD71" i="1"/>
  <c r="CD65" i="1" s="1"/>
  <c r="CJ71" i="1"/>
  <c r="CJ65" i="1" s="1"/>
  <c r="CK71" i="1"/>
  <c r="CK65" i="1" s="1"/>
  <c r="CL71" i="1"/>
  <c r="CL65" i="1" s="1"/>
  <c r="CM71" i="1"/>
  <c r="CM65" i="1" s="1"/>
  <c r="B101" i="1"/>
  <c r="B22" i="1" s="1"/>
  <c r="C101" i="1"/>
  <c r="C22" i="1" s="1"/>
  <c r="D101" i="1"/>
  <c r="D22" i="1" s="1"/>
  <c r="F101" i="1"/>
  <c r="F22" i="1" s="1"/>
  <c r="G101" i="1"/>
  <c r="B131" i="1"/>
  <c r="B18" i="1" s="1"/>
  <c r="C131" i="1"/>
  <c r="C18" i="1" s="1"/>
  <c r="D131" i="1"/>
  <c r="D18" i="1" s="1"/>
  <c r="F131" i="1"/>
  <c r="F18" i="1" s="1"/>
  <c r="G131" i="1"/>
  <c r="I17" i="5" l="1"/>
  <c r="I16" i="5"/>
  <c r="J96" i="5"/>
  <c r="J83" i="5"/>
  <c r="J64" i="5"/>
  <c r="H64" i="5"/>
  <c r="H96" i="5"/>
  <c r="I14" i="5"/>
  <c r="H83" i="5"/>
  <c r="G22" i="1"/>
  <c r="A83" i="5"/>
  <c r="AL83" i="5"/>
  <c r="G18" i="1"/>
  <c r="A96" i="5"/>
  <c r="AL96" i="5"/>
  <c r="BB71" i="1"/>
  <c r="AQ71" i="1"/>
  <c r="CZ69" i="1"/>
  <c r="Y69" i="1" s="1"/>
  <c r="CY69" i="1"/>
  <c r="X69" i="1" s="1"/>
  <c r="AD71" i="1"/>
  <c r="AG71" i="1"/>
  <c r="CP67" i="1"/>
  <c r="O67" i="1" s="1"/>
  <c r="FR67" i="1"/>
  <c r="T33" i="1"/>
  <c r="AG26" i="1"/>
  <c r="CY29" i="1"/>
  <c r="X29" i="1" s="1"/>
  <c r="CZ29" i="1"/>
  <c r="Y29" i="1" s="1"/>
  <c r="AL33" i="1" s="1"/>
  <c r="AF33" i="1"/>
  <c r="CP29" i="1"/>
  <c r="O29" i="1" s="1"/>
  <c r="BA71" i="1"/>
  <c r="AU71" i="1"/>
  <c r="AJ71" i="1"/>
  <c r="AJ33" i="1"/>
  <c r="AE33" i="1"/>
  <c r="GK29" i="1"/>
  <c r="AT71" i="1"/>
  <c r="AO71" i="1"/>
  <c r="FR68" i="1"/>
  <c r="AH65" i="1"/>
  <c r="U71" i="1"/>
  <c r="AI65" i="1"/>
  <c r="V71" i="1"/>
  <c r="GK67" i="1"/>
  <c r="AE71" i="1"/>
  <c r="AI26" i="1"/>
  <c r="V33" i="1"/>
  <c r="CG71" i="1"/>
  <c r="BC71" i="1"/>
  <c r="AS71" i="1"/>
  <c r="CY67" i="1"/>
  <c r="X67" i="1" s="1"/>
  <c r="CZ67" i="1"/>
  <c r="Y67" i="1" s="1"/>
  <c r="CP31" i="1"/>
  <c r="O31" i="1" s="1"/>
  <c r="CQ69" i="1"/>
  <c r="P69" i="1" s="1"/>
  <c r="AC71" i="1" s="1"/>
  <c r="AB67" i="1"/>
  <c r="BC33" i="1"/>
  <c r="AU33" i="1"/>
  <c r="CQ30" i="1"/>
  <c r="P30" i="1" s="1"/>
  <c r="AD33" i="1"/>
  <c r="BD26" i="1"/>
  <c r="BB26" i="1"/>
  <c r="F46" i="1"/>
  <c r="AH33" i="1"/>
  <c r="AS26" i="1"/>
  <c r="BD71" i="1"/>
  <c r="CT68" i="1"/>
  <c r="S68" i="1" s="1"/>
  <c r="AF71" i="1" s="1"/>
  <c r="CG33" i="1"/>
  <c r="CI33" i="1"/>
  <c r="AQ33" i="1"/>
  <c r="CY30" i="1"/>
  <c r="X30" i="1" s="1"/>
  <c r="AB29" i="1"/>
  <c r="CB26" i="1"/>
  <c r="AP26" i="1"/>
  <c r="F42" i="1"/>
  <c r="CJ33" i="1"/>
  <c r="BY26" i="1"/>
  <c r="CM26" i="1"/>
  <c r="AF65" i="1" l="1"/>
  <c r="S71" i="1"/>
  <c r="AC65" i="1"/>
  <c r="P71" i="1"/>
  <c r="CE71" i="1"/>
  <c r="CP30" i="1"/>
  <c r="O30" i="1" s="1"/>
  <c r="AC33" i="1"/>
  <c r="AQ26" i="1"/>
  <c r="F43" i="1"/>
  <c r="AQ101" i="1"/>
  <c r="BD65" i="1"/>
  <c r="F96" i="1"/>
  <c r="BD101" i="1"/>
  <c r="AU26" i="1"/>
  <c r="F52" i="1"/>
  <c r="AU101" i="1"/>
  <c r="GO31" i="1"/>
  <c r="GM31" i="1"/>
  <c r="AS65" i="1"/>
  <c r="F88" i="1"/>
  <c r="AS101" i="1"/>
  <c r="AE26" i="1"/>
  <c r="R33" i="1"/>
  <c r="BA65" i="1"/>
  <c r="F91" i="1"/>
  <c r="AK33" i="1"/>
  <c r="BA33" i="1"/>
  <c r="CJ26" i="1"/>
  <c r="CG26" i="1"/>
  <c r="AX33" i="1"/>
  <c r="AZ33" i="1"/>
  <c r="CI26" i="1"/>
  <c r="BC26" i="1"/>
  <c r="F49" i="1"/>
  <c r="BC101" i="1"/>
  <c r="BC65" i="1"/>
  <c r="F87" i="1"/>
  <c r="AE65" i="1"/>
  <c r="R71" i="1"/>
  <c r="U65" i="1"/>
  <c r="F93" i="1"/>
  <c r="AO65" i="1"/>
  <c r="AO101" i="1"/>
  <c r="F75" i="1"/>
  <c r="AJ26" i="1"/>
  <c r="W33" i="1"/>
  <c r="GM29" i="1"/>
  <c r="GO29" i="1"/>
  <c r="AB33" i="1"/>
  <c r="GM67" i="1"/>
  <c r="AD26" i="1"/>
  <c r="Q33" i="1"/>
  <c r="AL71" i="1"/>
  <c r="CG65" i="1"/>
  <c r="AX71" i="1"/>
  <c r="AT65" i="1"/>
  <c r="F89" i="1"/>
  <c r="AJ65" i="1"/>
  <c r="W71" i="1"/>
  <c r="AF26" i="1"/>
  <c r="S33" i="1"/>
  <c r="F54" i="1"/>
  <c r="T26" i="1"/>
  <c r="AG65" i="1"/>
  <c r="T71" i="1"/>
  <c r="T101" i="1" s="1"/>
  <c r="AQ65" i="1"/>
  <c r="F81" i="1"/>
  <c r="AH26" i="1"/>
  <c r="U33" i="1"/>
  <c r="CY68" i="1"/>
  <c r="X68" i="1" s="1"/>
  <c r="CZ68" i="1"/>
  <c r="Y68" i="1" s="1"/>
  <c r="FR69" i="1"/>
  <c r="CP69" i="1"/>
  <c r="O69" i="1" s="1"/>
  <c r="GM69" i="1" s="1"/>
  <c r="AK71" i="1"/>
  <c r="V26" i="1"/>
  <c r="F56" i="1"/>
  <c r="V101" i="1"/>
  <c r="V65" i="1"/>
  <c r="F94" i="1"/>
  <c r="CP68" i="1"/>
  <c r="O68" i="1" s="1"/>
  <c r="GM68" i="1" s="1"/>
  <c r="AU65" i="1"/>
  <c r="F90" i="1"/>
  <c r="AL26" i="1"/>
  <c r="Y33" i="1"/>
  <c r="BY71" i="1"/>
  <c r="AD65" i="1"/>
  <c r="Q71" i="1"/>
  <c r="BB65" i="1"/>
  <c r="F84" i="1"/>
  <c r="BB101" i="1"/>
  <c r="T22" i="1" l="1"/>
  <c r="T131" i="1"/>
  <c r="F122" i="1"/>
  <c r="S26" i="1"/>
  <c r="F48" i="1"/>
  <c r="S101" i="1"/>
  <c r="AL65" i="1"/>
  <c r="Y71" i="1"/>
  <c r="CA71" i="1"/>
  <c r="W26" i="1"/>
  <c r="F57" i="1"/>
  <c r="W101" i="1"/>
  <c r="AX26" i="1"/>
  <c r="F40" i="1"/>
  <c r="AX101" i="1"/>
  <c r="X33" i="1"/>
  <c r="AK26" i="1"/>
  <c r="AQ22" i="1"/>
  <c r="AQ131" i="1"/>
  <c r="F111" i="1"/>
  <c r="GM30" i="1"/>
  <c r="GO30" i="1"/>
  <c r="P65" i="1"/>
  <c r="F74" i="1"/>
  <c r="BY65" i="1"/>
  <c r="CI71" i="1"/>
  <c r="AP71" i="1"/>
  <c r="Q26" i="1"/>
  <c r="F45" i="1"/>
  <c r="Q101" i="1"/>
  <c r="AB26" i="1"/>
  <c r="O33" i="1"/>
  <c r="AS22" i="1"/>
  <c r="F118" i="1"/>
  <c r="E16" i="2" s="1"/>
  <c r="AS131" i="1"/>
  <c r="BD22" i="1"/>
  <c r="F126" i="1"/>
  <c r="BD131" i="1"/>
  <c r="CF71" i="1"/>
  <c r="Y26" i="1"/>
  <c r="F60" i="1"/>
  <c r="Y101" i="1"/>
  <c r="Q65" i="1"/>
  <c r="F83" i="1"/>
  <c r="BB22" i="1"/>
  <c r="F114" i="1"/>
  <c r="BB131" i="1"/>
  <c r="AK65" i="1"/>
  <c r="X71" i="1"/>
  <c r="W65" i="1"/>
  <c r="F95" i="1"/>
  <c r="AX65" i="1"/>
  <c r="F78" i="1"/>
  <c r="CC33" i="1"/>
  <c r="AU22" i="1"/>
  <c r="F120" i="1"/>
  <c r="AU131" i="1"/>
  <c r="CH71" i="1"/>
  <c r="S65" i="1"/>
  <c r="F86" i="1"/>
  <c r="V22" i="1"/>
  <c r="F124" i="1"/>
  <c r="V131" i="1"/>
  <c r="F55" i="1"/>
  <c r="U26" i="1"/>
  <c r="U101" i="1"/>
  <c r="T65" i="1"/>
  <c r="F92" i="1"/>
  <c r="AB71" i="1"/>
  <c r="CA33" i="1"/>
  <c r="AO22" i="1"/>
  <c r="AO131" i="1"/>
  <c r="F105" i="1"/>
  <c r="R65" i="1"/>
  <c r="F85" i="1"/>
  <c r="BC22" i="1"/>
  <c r="BC131" i="1"/>
  <c r="F117" i="1"/>
  <c r="AZ26" i="1"/>
  <c r="F44" i="1"/>
  <c r="BA26" i="1"/>
  <c r="F53" i="1"/>
  <c r="BA101" i="1"/>
  <c r="R26" i="1"/>
  <c r="F47" i="1"/>
  <c r="R101" i="1"/>
  <c r="P33" i="1"/>
  <c r="CE33" i="1"/>
  <c r="CF33" i="1"/>
  <c r="AC26" i="1"/>
  <c r="CH33" i="1"/>
  <c r="CE65" i="1"/>
  <c r="AV71" i="1"/>
  <c r="AW33" i="1" l="1"/>
  <c r="CF26" i="1"/>
  <c r="U22" i="1"/>
  <c r="F123" i="1"/>
  <c r="U131" i="1"/>
  <c r="AV33" i="1"/>
  <c r="CE26" i="1"/>
  <c r="BC18" i="1"/>
  <c r="F147" i="1"/>
  <c r="P26" i="1"/>
  <c r="F36" i="1"/>
  <c r="P101" i="1"/>
  <c r="AO18" i="1"/>
  <c r="F135" i="1"/>
  <c r="O26" i="1"/>
  <c r="F35" i="1"/>
  <c r="F59" i="1"/>
  <c r="X26" i="1"/>
  <c r="X101" i="1"/>
  <c r="W22" i="1"/>
  <c r="F125" i="1"/>
  <c r="W131" i="1"/>
  <c r="Y65" i="1"/>
  <c r="F98" i="1"/>
  <c r="AR33" i="1"/>
  <c r="CA26" i="1"/>
  <c r="CH26" i="1"/>
  <c r="AY33" i="1"/>
  <c r="BA22" i="1"/>
  <c r="F121" i="1"/>
  <c r="H16" i="2" s="1"/>
  <c r="H18" i="2" s="1"/>
  <c r="BA131" i="1"/>
  <c r="R22" i="1"/>
  <c r="R131" i="1"/>
  <c r="F115" i="1"/>
  <c r="V18" i="1"/>
  <c r="F154" i="1"/>
  <c r="BB18" i="1"/>
  <c r="F144" i="1"/>
  <c r="CF65" i="1"/>
  <c r="AW71" i="1"/>
  <c r="AS18" i="1"/>
  <c r="F148" i="1"/>
  <c r="F80" i="1"/>
  <c r="AP65" i="1"/>
  <c r="AP101" i="1"/>
  <c r="AQ18" i="1"/>
  <c r="F141" i="1"/>
  <c r="AX22" i="1"/>
  <c r="F108" i="1"/>
  <c r="AX131" i="1"/>
  <c r="AV65" i="1"/>
  <c r="F76" i="1"/>
  <c r="CH65" i="1"/>
  <c r="AY71" i="1"/>
  <c r="CC26" i="1"/>
  <c r="AT33" i="1"/>
  <c r="Y22" i="1"/>
  <c r="F128" i="1"/>
  <c r="Y131" i="1"/>
  <c r="BD18" i="1"/>
  <c r="F156" i="1"/>
  <c r="E18" i="2"/>
  <c r="Q22" i="1"/>
  <c r="F113" i="1"/>
  <c r="Q131" i="1"/>
  <c r="AZ71" i="1"/>
  <c r="CI65" i="1"/>
  <c r="S22" i="1"/>
  <c r="F116" i="1"/>
  <c r="J16" i="2" s="1"/>
  <c r="J18" i="2" s="1"/>
  <c r="S131" i="1"/>
  <c r="T18" i="1"/>
  <c r="F152" i="1"/>
  <c r="AB65" i="1"/>
  <c r="O71" i="1"/>
  <c r="O101" i="1" s="1"/>
  <c r="AU18" i="1"/>
  <c r="F150" i="1"/>
  <c r="X65" i="1"/>
  <c r="F97" i="1"/>
  <c r="AR71" i="1"/>
  <c r="CA65" i="1"/>
  <c r="O22" i="1" l="1"/>
  <c r="F103" i="1"/>
  <c r="O131" i="1"/>
  <c r="Q18" i="1"/>
  <c r="F143" i="1"/>
  <c r="AY65" i="1"/>
  <c r="F79" i="1"/>
  <c r="AX18" i="1"/>
  <c r="F138" i="1"/>
  <c r="W18" i="1"/>
  <c r="F155" i="1"/>
  <c r="P22" i="1"/>
  <c r="F104" i="1"/>
  <c r="P131" i="1"/>
  <c r="S18" i="1"/>
  <c r="F146" i="1"/>
  <c r="AP22" i="1"/>
  <c r="F110" i="1"/>
  <c r="G16" i="2" s="1"/>
  <c r="G18" i="2" s="1"/>
  <c r="AP131" i="1"/>
  <c r="R18" i="1"/>
  <c r="F145" i="1"/>
  <c r="AR26" i="1"/>
  <c r="F61" i="1"/>
  <c r="AR101" i="1"/>
  <c r="AR65" i="1"/>
  <c r="F99" i="1"/>
  <c r="AT26" i="1"/>
  <c r="F51" i="1"/>
  <c r="AT101" i="1"/>
  <c r="AW65" i="1"/>
  <c r="F77" i="1"/>
  <c r="AY26" i="1"/>
  <c r="F41" i="1"/>
  <c r="AY101" i="1"/>
  <c r="F38" i="1"/>
  <c r="AV26" i="1"/>
  <c r="AV101" i="1"/>
  <c r="O65" i="1"/>
  <c r="F73" i="1"/>
  <c r="AZ65" i="1"/>
  <c r="F82" i="1"/>
  <c r="AZ101" i="1"/>
  <c r="Y18" i="1"/>
  <c r="F158" i="1"/>
  <c r="BA18" i="1"/>
  <c r="F151" i="1"/>
  <c r="X22" i="1"/>
  <c r="X131" i="1"/>
  <c r="F127" i="1"/>
  <c r="U18" i="1"/>
  <c r="F153" i="1"/>
  <c r="F39" i="1"/>
  <c r="AW26" i="1"/>
  <c r="AW101" i="1"/>
  <c r="AW22" i="1" l="1"/>
  <c r="AW131" i="1"/>
  <c r="F107" i="1"/>
  <c r="AY22" i="1"/>
  <c r="AY131" i="1"/>
  <c r="F109" i="1"/>
  <c r="X18" i="1"/>
  <c r="F157" i="1"/>
  <c r="AR22" i="1"/>
  <c r="F129" i="1"/>
  <c r="AR131" i="1"/>
  <c r="AP18" i="1"/>
  <c r="F140" i="1"/>
  <c r="O18" i="1"/>
  <c r="F133" i="1"/>
  <c r="P18" i="1"/>
  <c r="F134" i="1"/>
  <c r="AZ22" i="1"/>
  <c r="F112" i="1"/>
  <c r="AZ131" i="1"/>
  <c r="AV22" i="1"/>
  <c r="AV131" i="1"/>
  <c r="F106" i="1"/>
  <c r="AT22" i="1"/>
  <c r="F119" i="1"/>
  <c r="F16" i="2" s="1"/>
  <c r="AT131" i="1"/>
  <c r="AZ18" i="1" l="1"/>
  <c r="F142" i="1"/>
  <c r="AR18" i="1"/>
  <c r="F159" i="1"/>
  <c r="AT18" i="1"/>
  <c r="F149" i="1"/>
  <c r="AW18" i="1"/>
  <c r="F137" i="1"/>
  <c r="AV18" i="1"/>
  <c r="F136" i="1"/>
  <c r="F18" i="2"/>
  <c r="I16" i="2"/>
  <c r="I18" i="2" s="1"/>
  <c r="AY18" i="1"/>
  <c r="F139" i="1"/>
</calcChain>
</file>

<file path=xl/sharedStrings.xml><?xml version="1.0" encoding="utf-8"?>
<sst xmlns="http://schemas.openxmlformats.org/spreadsheetml/2006/main" count="955" uniqueCount="168">
  <si>
    <t>Smeta.RU  (495) 974-1589</t>
  </si>
  <si>
    <t>_PS_</t>
  </si>
  <si>
    <t>Smeta.RU</t>
  </si>
  <si>
    <t>АО "ИнжЭнергоПроект"  Доп. раб. место  FStS-0037067</t>
  </si>
  <si>
    <t/>
  </si>
  <si>
    <t>приобретение и монтаж оборудования  КРУ-10 кВ_(Копия)_(Копия)</t>
  </si>
  <si>
    <t>0256/00-ЭП.2.СО1</t>
  </si>
  <si>
    <t>Бутылина Т.Ю.</t>
  </si>
  <si>
    <t>Володина Н.С.</t>
  </si>
  <si>
    <t>Сметные нормы списания</t>
  </si>
  <si>
    <t>Коды ОКП для ТСН-2001 МГЭ</t>
  </si>
  <si>
    <t>Типовой расчет для ТСН-2001 МГЭ (Строительство), Доп 47</t>
  </si>
  <si>
    <t>Территориальные сметные нормативы для Москвы ТСН-2001 (МГЭ)</t>
  </si>
  <si>
    <t>Поправки для ТСН-2001 от 26.04.2021 г. доп.60</t>
  </si>
  <si>
    <t>02-03-06</t>
  </si>
  <si>
    <t>приобретение и монтаж оборудования   КРУ-10 кВ</t>
  </si>
  <si>
    <t>Монтажные работы и материалы</t>
  </si>
  <si>
    <t>ЯЧЕЙКИ ЛИНЕЙНЫЕ (14 шт)</t>
  </si>
  <si>
    <t>1</t>
  </si>
  <si>
    <t>4.8-62-1</t>
  </si>
  <si>
    <t>Шкафы комплектные распределительных устройств, шкаф с выключателем напряжением 6-10 кВ на ток до 3200 А</t>
  </si>
  <si>
    <t>1  ШТ.</t>
  </si>
  <si>
    <t>ТСН-2001.4. Доп. 1-42. Сб. 8, т. 62, поз. 1</t>
  </si>
  <si>
    <t>)*1,2)*1,15</t>
  </si>
  <si>
    <t>Монтаж оборудования</t>
  </si>
  <si>
    <t>ТСН-2001.4-8. 8-28...8-72</t>
  </si>
  <si>
    <t>ТСН-2001.4-8-2</t>
  </si>
  <si>
    <t>Поправка: ТСН-2001.4. О.П. тб1. п.1  Поправка: ТСН-2001.4. О.П. тб1. п.2</t>
  </si>
  <si>
    <t>2</t>
  </si>
  <si>
    <t>Демонтаж Шкафы комплектные распределительных устройств, шкаф с выключателем напряжением 6-10 кВ на ток до 3200 А</t>
  </si>
  <si>
    <t>)*0</t>
  </si>
  <si>
    <t>)*1,2)*1,15)*0,4</t>
  </si>
  <si>
    <t>Поправка: ТСН-2001.4. О.П. тб1. п.1  Поправка: ТСН-2001.4. О.П. тб1. п.2  Поправка: ТСН-2001.4. О.П. п.6.1.1.2</t>
  </si>
  <si>
    <t>3</t>
  </si>
  <si>
    <t>4.8-34-1</t>
  </si>
  <si>
    <t>Трансформаторы тока, трансформатор, напряжение до 10 кВ</t>
  </si>
  <si>
    <t>ТСН-2001.4. Доп. 1-42. Сб. 8, т. 34, поз. 1</t>
  </si>
  <si>
    <t>)*1,2)*1,15)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</si>
  <si>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</si>
  <si>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</si>
  <si>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</si>
  <si>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</si>
  <si>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</si>
  <si>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</si>
  <si>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</si>
  <si>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</si>
  <si>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</si>
  <si>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</si>
  <si>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</si>
  <si>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</si>
  <si>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</si>
  <si>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</si>
  <si>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</si>
  <si>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</si>
  <si>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</si>
  <si>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</si>
  <si>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</si>
  <si>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</si>
  <si>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</si>
  <si>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</si>
  <si>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</si>
  <si>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</si>
  <si>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</si>
  <si>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</si>
  <si>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</si>
  <si>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</si>
  <si>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</si>
  <si>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</si>
  <si>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</si>
  <si>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</si>
  <si>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</si>
  <si>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</si>
  <si>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</si>
  <si>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</si>
  <si>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</si>
  <si>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</si>
  <si>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</si>
  <si>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</si>
  <si>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</si>
  <si>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</si>
  <si>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</si>
  <si>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</si>
  <si>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</si>
  <si>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</si>
  <si>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</si>
  <si>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</si>
  <si>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</si>
  <si>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</si>
  <si>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</si>
  <si>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</si>
  <si>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</si>
  <si>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</si>
  <si>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Оборудование</t>
  </si>
  <si>
    <t>Стоимость экспертизы</t>
  </si>
  <si>
    <t>Ячейка генераторного выключателя с двумя разъединителями 6 кВ, 4000 А, трансформатором тока (3 фазы)</t>
  </si>
  <si>
    <t>ШТ</t>
  </si>
  <si>
    <t>Материалы</t>
  </si>
  <si>
    <t>Материалы, изделия и конструкции</t>
  </si>
  <si>
    <t>[2 549 705 /  4,77] +  3% Трансп +  1,2% Заг.скл</t>
  </si>
  <si>
    <t>4</t>
  </si>
  <si>
    <t>Выключатель ВМП 630А 10кВ</t>
  </si>
  <si>
    <t>[95 000 / 1,2 /  4,77] +  3% Трансп +  1,2% Заг.скл</t>
  </si>
  <si>
    <t>5</t>
  </si>
  <si>
    <t>Трансформатор тока  ТПЛ-10-0,5</t>
  </si>
  <si>
    <t>[32 497,2 / 1,2 /  4,77] +  3% Трансп +  1,2% Заг.скл</t>
  </si>
  <si>
    <t>Уровень цен</t>
  </si>
  <si>
    <t>Сборник индексов</t>
  </si>
  <si>
    <t>Коэффициенты к ТСН-2001 МГЭ</t>
  </si>
  <si>
    <t>176</t>
  </si>
  <si>
    <t>_OBSM_</t>
  </si>
  <si>
    <t>9999990008</t>
  </si>
  <si>
    <t>Трудозатраты рабочих</t>
  </si>
  <si>
    <t>чел.-ч.</t>
  </si>
  <si>
    <t>Поправка: ТСН-2001.4. О.П. тб1. п.1  Наименование: На действующих предприятиях (в цехах на производственных площадях) в стесненных условиях: с наличием в зоне производства работ действующего технологического оборудования (станков, установок, печей, кранов, конвейеров и т.п.) или запыленности воздуха, или движения технологического транспорта по внутрицеховым и внутризаводским путям  Поправка: ТСН-2001.4. О.П. тб1. п.2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загромоаждающих помещение предметов (станков, установок, аппаратов, эксплуатационного и лабораторного оборудования, оргтехники, мебели и т.п.)</t>
  </si>
  <si>
    <t>Поправка: ТСН-2001.4. О.П. тб1. п.1  Наименование: На действующих предприятиях (в цехах на производственных площадях) в стесненных условиях: с наличием в зоне производства работ действующего технологического оборудования (станков, установок, печей, кранов, конвейеров и т.п.) или запыленности воздуха, или движения технологического транспорта по внутрицеховым и внутризаводским путям  Поправка: ТСН-2001.4. О.П. тб1. п.2  Наименование: На предприятиях (в цехах на производственных площадях), остановленных для производства строительно-монтажных работ, а также в зданиях и сооружениях всех назначений при наличии в зоне производства работ загромоаждающих помещение предметов (станков, установок, аппаратов, эксплуатационного и лабораторного оборудования, оргтехники, мебели и т.п.)  Поправка: ТСН-2001.4. О.П. п.6.1.1.2  Наименование: Демонтаж оборудования, предназначенного для дальнейшего использования, без консервации и упаковки</t>
  </si>
  <si>
    <t>(наименование стройки и/или объекта)</t>
  </si>
  <si>
    <t>(наименование работ и затрат)</t>
  </si>
  <si>
    <t>В базисном уровне цен</t>
  </si>
  <si>
    <t>В текущем уровне цен</t>
  </si>
  <si>
    <t>Сметная стоимость</t>
  </si>
  <si>
    <t>Строительные работы</t>
  </si>
  <si>
    <t>Работы по монтажу оборудования</t>
  </si>
  <si>
    <t>Прочие работы и затраты</t>
  </si>
  <si>
    <t>Средства на оплату труда</t>
  </si>
  <si>
    <t>Затраты труда</t>
  </si>
  <si>
    <t xml:space="preserve">Кроме того: 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</si>
  <si>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</si>
  <si>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</si>
  <si>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</si>
  <si>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</si>
  <si>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</si>
  <si>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изм., руб.</t>
  </si>
  <si>
    <t>Попра-вочные коэффи-
циенты</t>
  </si>
  <si>
    <t>Коэффи-циенты зимних удорожа-ний</t>
  </si>
  <si>
    <t>Всего затрат в базисном уровне цен, руб.</t>
  </si>
  <si>
    <t>Коэффици-енты (индексы) пересчета, нормы НР и СП</t>
  </si>
  <si>
    <t>ВСЕГО затрат в текущем уровне цен, руб.</t>
  </si>
  <si>
    <t>Форма № 4б</t>
  </si>
  <si>
    <t>Составлен(а) по ТСН-2001 с учетом Дополнения №: 60</t>
  </si>
  <si>
    <t>№ и период сборника коэффициентов (индексов) пересчета: Коэффициенты к ТСН-2001 МГЭ №176 май 2021 года</t>
  </si>
  <si>
    <t>ЗП</t>
  </si>
  <si>
    <t>ЭМ</t>
  </si>
  <si>
    <t>в т.ч. ЗПМ</t>
  </si>
  <si>
    <t>МР</t>
  </si>
  <si>
    <t>НР от ЗП</t>
  </si>
  <si>
    <t>%</t>
  </si>
  <si>
    <t>СП от ЗП</t>
  </si>
  <si>
    <t>НР и СП от ЗПМ</t>
  </si>
  <si>
    <t>ЗТР</t>
  </si>
  <si>
    <t>чел-ч</t>
  </si>
  <si>
    <t>Всего по позиции:</t>
  </si>
  <si>
    <t xml:space="preserve">   Итого по ТСН-2001.16</t>
  </si>
  <si>
    <t xml:space="preserve">   Итого возвратных сумм</t>
  </si>
  <si>
    <r>
      <t>Выключатель ВМП 630А 10кВ</t>
    </r>
    <r>
      <rPr>
        <i/>
        <sz val="10"/>
        <rFont val="Arial"/>
        <family val="2"/>
        <charset val="204"/>
      </rPr>
      <t xml:space="preserve">
Базисная стоимость: 17 299,83 = [95 000 / 1,2 /  4,77] +  3% Трансп +  1,2% Заг.скл</t>
    </r>
  </si>
  <si>
    <r>
      <t>Трансформатор тока  ТПЛ-10-0,5</t>
    </r>
    <r>
      <rPr>
        <i/>
        <sz val="10"/>
        <rFont val="Arial"/>
        <family val="2"/>
        <charset val="204"/>
      </rPr>
      <t xml:space="preserve">
Базисная стоимость: 5 917,85 = [32 497,2 / 1,2 /  4,77] +  3% Трансп +  1,2% Заг.скл</t>
    </r>
  </si>
  <si>
    <t xml:space="preserve">  тыс.руб</t>
  </si>
  <si>
    <t xml:space="preserve">Составил   </t>
  </si>
  <si>
    <t>(должность, подпись, инициалы, фамилия)</t>
  </si>
  <si>
    <t xml:space="preserve">Проверил   </t>
  </si>
  <si>
    <t>Перемонтаж ячейки отходящей линии 10 кВ</t>
  </si>
  <si>
    <t>Демонтаж: Шкафы комплектные распределительных устройств, шкаф с выключателем напряжением 6-10 кВ на ток до 3200 А</t>
  </si>
  <si>
    <t>Прайс-лист</t>
  </si>
  <si>
    <r>
      <t xml:space="preserve">Ячейка </t>
    </r>
    <r>
      <rPr>
        <i/>
        <sz val="10"/>
        <rFont val="Arial"/>
        <family val="2"/>
        <charset val="204"/>
      </rPr>
      <t xml:space="preserve">
Базисная стоимость: 557 172,01 = [2 549 705 /  4,77] +  3% Трансп +  1,2% Заг.скл</t>
    </r>
  </si>
  <si>
    <t>Итого без НДС</t>
  </si>
  <si>
    <t>НДС 20%</t>
  </si>
  <si>
    <t>Итого с НДС</t>
  </si>
  <si>
    <t>Временные здания и сооружения- 1,5% от СМР</t>
  </si>
  <si>
    <t>Бывший ЦСОД Яндекса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</si>
</sst>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[Red]\-\ #,##0.00"/>
    <numFmt numFmtId="165" formatCode="#,##0.00####;[Red]\-\ #,##0.00####"/>
  </numFmts>
  <fonts count="19" x14ac:knownFonts="1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b/>
      <sz val="13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horizontal="center" wrapText="1"/>
    </xf>
    <xf numFmtId="164" fontId="15" fillId="0" borderId="0" xfId="0" applyNumberFormat="1" applyFont="1"/>
    <xf numFmtId="0" fontId="15" fillId="0" borderId="0" xfId="0" applyFont="1"/>
    <xf numFmtId="164" fontId="11" fillId="0" borderId="0" xfId="0" applyNumberFormat="1" applyFont="1"/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wrapText="1"/>
    </xf>
    <xf numFmtId="0" fontId="17" fillId="0" borderId="0" xfId="0" applyFont="1" applyAlignment="1">
      <alignment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right"/>
    </xf>
    <xf numFmtId="0" fontId="17" fillId="0" borderId="0" xfId="0" applyFont="1" applyAlignment="1">
      <alignment horizontal="right" wrapText="1"/>
    </xf>
    <xf numFmtId="0" fontId="11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7" fillId="0" borderId="0" xfId="0" applyNumberFormat="1" applyFont="1" applyAlignment="1">
      <alignment horizontal="right"/>
    </xf>
    <xf numFmtId="164" fontId="0" fillId="0" borderId="0" xfId="0" applyNumberFormat="1"/>
    <xf numFmtId="0" fontId="11" fillId="0" borderId="5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right" wrapText="1"/>
    </xf>
    <xf numFmtId="0" fontId="11" fillId="0" borderId="5" xfId="0" applyFont="1" applyBorder="1" applyAlignment="1">
      <alignment horizontal="right"/>
    </xf>
    <xf numFmtId="165" fontId="11" fillId="0" borderId="5" xfId="0" applyNumberFormat="1" applyFont="1" applyBorder="1" applyAlignment="1">
      <alignment horizontal="right"/>
    </xf>
    <xf numFmtId="0" fontId="11" fillId="0" borderId="5" xfId="0" applyFont="1" applyBorder="1" applyAlignment="1">
      <alignment horizontal="right" wrapText="1"/>
    </xf>
    <xf numFmtId="164" fontId="11" fillId="0" borderId="5" xfId="0" applyNumberFormat="1" applyFont="1" applyBorder="1" applyAlignment="1">
      <alignment horizontal="right"/>
    </xf>
    <xf numFmtId="0" fontId="0" fillId="0" borderId="6" xfId="0" applyBorder="1"/>
    <xf numFmtId="0" fontId="15" fillId="0" borderId="6" xfId="0" applyFont="1" applyBorder="1"/>
    <xf numFmtId="0" fontId="15" fillId="0" borderId="0" xfId="0" applyFont="1" applyAlignment="1">
      <alignment horizontal="left" wrapText="1"/>
    </xf>
    <xf numFmtId="0" fontId="11" fillId="0" borderId="1" xfId="0" applyFont="1" applyBorder="1"/>
    <xf numFmtId="0" fontId="0" fillId="0" borderId="0" xfId="0"/>
    <xf numFmtId="0" fontId="11" fillId="0" borderId="0" xfId="0" applyFont="1"/>
    <xf numFmtId="4" fontId="11" fillId="0" borderId="0" xfId="0" applyNumberFormat="1" applyFont="1"/>
    <xf numFmtId="4" fontId="15" fillId="0" borderId="0" xfId="0" applyNumberFormat="1" applyFont="1"/>
    <xf numFmtId="0" fontId="15" fillId="0" borderId="0" xfId="0" applyFont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2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0" xfId="0" applyAlignment="1"/>
    <xf numFmtId="164" fontId="15" fillId="0" borderId="6" xfId="0" applyNumberFormat="1" applyFont="1" applyBorder="1" applyAlignment="1">
      <alignment horizontal="right"/>
    </xf>
    <xf numFmtId="0" fontId="15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1" applyFont="1" applyFill="1" applyAlignment="1">
      <alignment horizontal="left"/>
    </xf>
    <xf numFmtId="0" fontId="9" fillId="0" borderId="0" xfId="1" applyFont="1" applyFill="1" applyAlignment="1">
      <alignment horizontal="left"/>
    </xf>
    <xf numFmtId="0" fontId="16" fillId="0" borderId="0" xfId="0" applyFont="1" applyAlignment="1">
      <alignment horizontal="center" wrapText="1"/>
    </xf>
    <xf numFmtId="164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vertical="center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0"/>
  <sheetViews>
    <sheetView tabSelected="1" zoomScaleNormal="100" workbookViewId="0">
      <selection activeCell="AR91" sqref="AR91"/>
    </sheetView>
  </sheetViews>
  <sheetFormatPr defaultRowHeight="13.2" x14ac:dyDescent="0.25"/>
  <cols>
    <col min="1" max="1" width="5.6640625" customWidth="1"/>
    <col min="2" max="2" width="11.6640625" customWidth="1"/>
    <col min="3" max="3" width="40.6640625" customWidth="1"/>
    <col min="4" max="6" width="11.6640625" customWidth="1"/>
    <col min="7" max="7" width="12.6640625" customWidth="1"/>
    <col min="8" max="8" width="10.6640625" customWidth="1"/>
    <col min="9" max="11" width="12.6640625" customWidth="1"/>
    <col min="15" max="36" width="0" hidden="1" customWidth="1"/>
    <col min="37" max="37" width="150.6640625" hidden="1" customWidth="1"/>
    <col min="38" max="38" width="104.6640625" hidden="1" customWidth="1"/>
    <col min="39" max="42" width="0" hidden="1" customWidth="1"/>
  </cols>
  <sheetData>
    <row r="1" spans="1:11" x14ac:dyDescent="0.25">
      <c r="A1" s="9" t="str">
        <f>Source!B1</f>
        <v>Smeta.RU  (495) 974-1589</v>
      </c>
    </row>
    <row r="2" spans="1:11" ht="13.8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 t="s">
        <v>137</v>
      </c>
    </row>
    <row r="3" spans="1:11" ht="15.6" x14ac:dyDescent="0.3">
      <c r="A3" s="50" t="s">
        <v>167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5">
      <c r="A4" s="51" t="s">
        <v>115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13.8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ht="15.6" x14ac:dyDescent="0.3">
      <c r="A6" s="50" t="str">
        <f>CONCATENATE( "ЛОКАЛЬНАЯ СМЕТА №02-01-01",IF(Source!F12&lt;&gt;"Новый объект", Source!F12, ""))</f>
        <v>ЛОКАЛЬНАЯ СМЕТА №02-01-01</v>
      </c>
      <c r="B6" s="52"/>
      <c r="C6" s="52"/>
      <c r="D6" s="52"/>
      <c r="E6" s="52"/>
      <c r="F6" s="52"/>
      <c r="G6" s="52"/>
      <c r="H6" s="52"/>
      <c r="I6" s="52"/>
      <c r="J6" s="52"/>
      <c r="K6" s="52"/>
    </row>
    <row r="7" spans="1:11" ht="13.8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ht="17.399999999999999" x14ac:dyDescent="0.3">
      <c r="A8" s="53" t="s">
        <v>159</v>
      </c>
      <c r="B8" s="53"/>
      <c r="C8" s="53"/>
      <c r="D8" s="53"/>
      <c r="E8" s="53"/>
      <c r="F8" s="53"/>
      <c r="G8" s="53"/>
      <c r="H8" s="53"/>
      <c r="I8" s="53"/>
      <c r="J8" s="53"/>
      <c r="K8" s="53"/>
    </row>
    <row r="9" spans="1:11" x14ac:dyDescent="0.25">
      <c r="A9" s="54" t="s">
        <v>116</v>
      </c>
      <c r="B9" s="55"/>
      <c r="C9" s="55"/>
      <c r="D9" s="55"/>
      <c r="E9" s="55"/>
      <c r="F9" s="55"/>
      <c r="G9" s="55"/>
      <c r="H9" s="55"/>
      <c r="I9" s="55"/>
      <c r="J9" s="55"/>
      <c r="K9" s="55"/>
    </row>
    <row r="10" spans="1:11" ht="13.8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3.8" x14ac:dyDescent="0.25">
      <c r="A11" s="47" t="str">
        <f>CONCATENATE( "Основание: чертежи № ", Source!J12)</f>
        <v xml:space="preserve">Основание: чертежи № 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</row>
    <row r="12" spans="1:11" ht="13.8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1:11" ht="27.6" x14ac:dyDescent="0.25">
      <c r="A13" s="10"/>
      <c r="B13" s="10"/>
      <c r="C13" s="10"/>
      <c r="D13" s="10"/>
      <c r="E13" s="10"/>
      <c r="F13" s="10"/>
      <c r="G13" s="10"/>
      <c r="H13" s="10"/>
      <c r="I13" s="12" t="s">
        <v>117</v>
      </c>
      <c r="J13" s="12" t="s">
        <v>118</v>
      </c>
      <c r="K13" s="10"/>
    </row>
    <row r="14" spans="1:11" ht="13.8" x14ac:dyDescent="0.25">
      <c r="A14" s="10"/>
      <c r="B14" s="10"/>
      <c r="C14" s="10"/>
      <c r="D14" s="10"/>
      <c r="E14" s="10"/>
      <c r="F14" s="57" t="s">
        <v>119</v>
      </c>
      <c r="G14" s="57"/>
      <c r="H14" s="57"/>
      <c r="I14" s="13">
        <f>SUM(O1:O98)/1000</f>
        <v>587.72256999999991</v>
      </c>
      <c r="J14" s="13">
        <f>(Source!F159/1000)</f>
        <v>2875.3600699999997</v>
      </c>
      <c r="K14" s="14" t="s">
        <v>155</v>
      </c>
    </row>
    <row r="15" spans="1:11" ht="13.8" x14ac:dyDescent="0.25">
      <c r="A15" s="10"/>
      <c r="B15" s="10"/>
      <c r="C15" s="10"/>
      <c r="D15" s="10"/>
      <c r="E15" s="10"/>
      <c r="F15" s="58" t="s">
        <v>120</v>
      </c>
      <c r="G15" s="58"/>
      <c r="H15" s="58"/>
      <c r="I15" s="15">
        <f>SUM(X1:X98)/1000</f>
        <v>0</v>
      </c>
      <c r="J15" s="15">
        <f>(Source!F148)/1000</f>
        <v>0</v>
      </c>
      <c r="K15" s="10" t="s">
        <v>155</v>
      </c>
    </row>
    <row r="16" spans="1:11" ht="13.8" x14ac:dyDescent="0.25">
      <c r="A16" s="10"/>
      <c r="B16" s="10"/>
      <c r="C16" s="10"/>
      <c r="D16" s="10"/>
      <c r="E16" s="10"/>
      <c r="F16" s="58" t="s">
        <v>121</v>
      </c>
      <c r="G16" s="58"/>
      <c r="H16" s="58"/>
      <c r="I16" s="15">
        <f>SUM(Y1:Y98)/1000</f>
        <v>7.3328800000000003</v>
      </c>
      <c r="J16" s="15">
        <f>(Source!F149)/1000</f>
        <v>106.90125</v>
      </c>
      <c r="K16" s="10" t="s">
        <v>155</v>
      </c>
    </row>
    <row r="17" spans="1:37" ht="13.8" x14ac:dyDescent="0.25">
      <c r="A17" s="10"/>
      <c r="B17" s="10"/>
      <c r="C17" s="10"/>
      <c r="D17" s="10"/>
      <c r="E17" s="10"/>
      <c r="F17" s="58" t="s">
        <v>92</v>
      </c>
      <c r="G17" s="58"/>
      <c r="H17" s="58"/>
      <c r="I17" s="15">
        <f>SUM(Z1:Z98)/1000</f>
        <v>580.38968999999997</v>
      </c>
      <c r="J17" s="15">
        <f>(Source!F140)/1000</f>
        <v>2768.4588199999998</v>
      </c>
      <c r="K17" s="10" t="s">
        <v>155</v>
      </c>
    </row>
    <row r="18" spans="1:37" ht="13.8" x14ac:dyDescent="0.25">
      <c r="A18" s="10"/>
      <c r="B18" s="10"/>
      <c r="C18" s="10"/>
      <c r="D18" s="10"/>
      <c r="E18" s="10"/>
      <c r="F18" s="58" t="s">
        <v>122</v>
      </c>
      <c r="G18" s="58"/>
      <c r="H18" s="58"/>
      <c r="I18" s="15">
        <f>SUM(AA1:AA98)/1000</f>
        <v>0</v>
      </c>
      <c r="J18" s="15">
        <f>(Source!F150+Source!F151)/1000</f>
        <v>0</v>
      </c>
      <c r="K18" s="10" t="s">
        <v>155</v>
      </c>
    </row>
    <row r="19" spans="1:37" ht="13.8" x14ac:dyDescent="0.25">
      <c r="A19" s="10"/>
      <c r="B19" s="10"/>
      <c r="C19" s="10"/>
      <c r="D19" s="10"/>
      <c r="E19" s="10"/>
      <c r="F19" s="58" t="s">
        <v>123</v>
      </c>
      <c r="G19" s="58"/>
      <c r="H19" s="58"/>
      <c r="I19" s="15">
        <f>SUM(W1:W98)/1000</f>
        <v>1.42666</v>
      </c>
      <c r="J19" s="15">
        <f>(Source!F146+ Source!F145)/1000</f>
        <v>35.851770000000002</v>
      </c>
      <c r="K19" s="10" t="s">
        <v>155</v>
      </c>
    </row>
    <row r="20" spans="1:37" ht="13.8" x14ac:dyDescent="0.25">
      <c r="A20" s="10"/>
      <c r="B20" s="10"/>
      <c r="C20" s="10"/>
      <c r="D20" s="10"/>
      <c r="E20" s="10"/>
      <c r="F20" s="58" t="s">
        <v>124</v>
      </c>
      <c r="G20" s="58"/>
      <c r="H20" s="58"/>
      <c r="I20" s="15">
        <f>SUM(AB1:AB98)</f>
        <v>61.363204199999998</v>
      </c>
      <c r="J20" s="15"/>
      <c r="K20" s="10" t="s">
        <v>112</v>
      </c>
    </row>
    <row r="21" spans="1:37" ht="13.8" hidden="1" x14ac:dyDescent="0.25">
      <c r="A21" s="10"/>
      <c r="B21" s="10"/>
      <c r="C21" s="10"/>
      <c r="D21" s="10"/>
      <c r="E21" s="10"/>
      <c r="F21" s="16" t="s">
        <v>125</v>
      </c>
      <c r="G21" s="16"/>
      <c r="H21" s="16"/>
      <c r="I21" s="15"/>
      <c r="J21" s="15"/>
      <c r="K21" s="10"/>
    </row>
    <row r="22" spans="1:37" ht="13.8" hidden="1" x14ac:dyDescent="0.25">
      <c r="A22" s="10"/>
      <c r="B22" s="10"/>
      <c r="C22" s="10"/>
      <c r="D22" s="10"/>
      <c r="E22" s="10"/>
      <c r="F22" s="59" t="s">
        <v>77</v>
      </c>
      <c r="G22" s="60"/>
      <c r="H22" s="60"/>
      <c r="I22" s="15">
        <f>SUM(AE1:AE98)/1000</f>
        <v>0</v>
      </c>
      <c r="J22" s="15">
        <f>SUM(AF1:AF98)/1000</f>
        <v>0</v>
      </c>
      <c r="K22" s="10" t="s">
        <v>155</v>
      </c>
    </row>
    <row r="23" spans="1:37" ht="13.8" x14ac:dyDescent="0.25">
      <c r="A23" s="10"/>
      <c r="B23" s="10"/>
      <c r="C23" s="10"/>
      <c r="D23" s="10"/>
      <c r="E23" s="10"/>
      <c r="F23" s="17"/>
      <c r="G23" s="17"/>
      <c r="H23" s="17"/>
      <c r="I23" s="15"/>
      <c r="J23" s="15"/>
      <c r="K23" s="10"/>
    </row>
    <row r="24" spans="1:37" ht="13.8" x14ac:dyDescent="0.25">
      <c r="A24" s="10" t="s">
        <v>138</v>
      </c>
      <c r="B24" s="10"/>
      <c r="C24" s="10"/>
      <c r="D24" s="10"/>
      <c r="E24" s="10"/>
      <c r="F24" s="17"/>
      <c r="G24" s="17"/>
      <c r="H24" s="17"/>
      <c r="I24" s="15"/>
      <c r="J24" s="15"/>
      <c r="K24" s="10"/>
    </row>
    <row r="25" spans="1:37" ht="13.8" x14ac:dyDescent="0.25">
      <c r="A25" s="47" t="s">
        <v>139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AK25" s="20" t="s">
        <v>139</v>
      </c>
    </row>
    <row r="26" spans="1:37" ht="82.8" x14ac:dyDescent="0.25">
      <c r="A26" s="18" t="s">
        <v>126</v>
      </c>
      <c r="B26" s="18" t="s">
        <v>127</v>
      </c>
      <c r="C26" s="18" t="s">
        <v>128</v>
      </c>
      <c r="D26" s="18" t="s">
        <v>129</v>
      </c>
      <c r="E26" s="18" t="s">
        <v>130</v>
      </c>
      <c r="F26" s="18" t="s">
        <v>131</v>
      </c>
      <c r="G26" s="19" t="s">
        <v>132</v>
      </c>
      <c r="H26" s="19" t="s">
        <v>133</v>
      </c>
      <c r="I26" s="18" t="s">
        <v>134</v>
      </c>
      <c r="J26" s="18" t="s">
        <v>135</v>
      </c>
      <c r="K26" s="18" t="s">
        <v>136</v>
      </c>
    </row>
    <row r="27" spans="1:37" ht="13.8" x14ac:dyDescent="0.25">
      <c r="A27" s="18">
        <v>1</v>
      </c>
      <c r="B27" s="18">
        <v>2</v>
      </c>
      <c r="C27" s="18">
        <v>3</v>
      </c>
      <c r="D27" s="18">
        <v>4</v>
      </c>
      <c r="E27" s="18">
        <v>5</v>
      </c>
      <c r="F27" s="18">
        <v>6</v>
      </c>
      <c r="G27" s="18">
        <v>7</v>
      </c>
      <c r="H27" s="18">
        <v>8</v>
      </c>
      <c r="I27" s="18">
        <v>9</v>
      </c>
      <c r="J27" s="18">
        <v>10</v>
      </c>
      <c r="K27" s="18">
        <v>11</v>
      </c>
    </row>
    <row r="29" spans="1:37" ht="16.8" x14ac:dyDescent="0.3">
      <c r="A29" s="61" t="str">
        <f>CONCATENATE("Раздел: ",IF(Source!G24&lt;&gt;"Новый раздел", Source!G24, ""))</f>
        <v>Раздел: Монтажные работы и материалы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37" ht="14.4" x14ac:dyDescent="0.3">
      <c r="C30" s="21"/>
    </row>
    <row r="31" spans="1:37" ht="55.2" x14ac:dyDescent="0.3">
      <c r="A31" s="22" t="str">
        <f>Source!E29</f>
        <v>1</v>
      </c>
      <c r="B31" s="23" t="str">
        <f>Source!F29</f>
        <v>4.8-62-1</v>
      </c>
      <c r="C31" s="23" t="s">
        <v>20</v>
      </c>
      <c r="D31" s="25" t="str">
        <f>Source!H29</f>
        <v>1  ШТ.</v>
      </c>
      <c r="E31" s="24">
        <f>Source!I29</f>
        <v>1</v>
      </c>
      <c r="F31" s="27"/>
      <c r="G31" s="26"/>
      <c r="H31" s="24"/>
      <c r="I31" s="28"/>
      <c r="J31" s="24"/>
      <c r="K31" s="28"/>
      <c r="Q31">
        <f>ROUND((Source!DN29/100)*ROUND((Source!AF29*Source!AV29)*Source!I29, 2), 2)</f>
        <v>588.16999999999996</v>
      </c>
      <c r="R31">
        <f>Source!X29</f>
        <v>11877.29</v>
      </c>
      <c r="S31">
        <f>ROUND((Source!DO29/100)*ROUND((Source!AF29*Source!AV29)*Source!I29, 2), 2)</f>
        <v>367.61</v>
      </c>
      <c r="T31">
        <f>Source!Y29</f>
        <v>5674.71</v>
      </c>
      <c r="U31">
        <f>ROUND((175/100)*ROUND((Source!AE29*Source!AV29)*Source!I29, 2), 2)</f>
        <v>813.45</v>
      </c>
      <c r="V31">
        <f>ROUND((157/100)*ROUND(Source!CS29*Source!I29, 2), 2)</f>
        <v>18339.3</v>
      </c>
    </row>
    <row r="32" spans="1:37" ht="14.4" x14ac:dyDescent="0.3">
      <c r="A32" s="22"/>
      <c r="B32" s="23"/>
      <c r="C32" s="23" t="s">
        <v>140</v>
      </c>
      <c r="D32" s="25"/>
      <c r="E32" s="24"/>
      <c r="F32" s="27">
        <f>Source!AO29</f>
        <v>363.46</v>
      </c>
      <c r="G32" s="26" t="str">
        <f>Source!DG29</f>
        <v>)*1,2)*1,15</v>
      </c>
      <c r="H32" s="24">
        <f>Source!AV29</f>
        <v>1.0469999999999999</v>
      </c>
      <c r="I32" s="28">
        <f>ROUND((Source!AF29*Source!AV29)*Source!I29, 2)</f>
        <v>525.15</v>
      </c>
      <c r="J32" s="24">
        <f>IF(Source!BA29&lt;&gt; 0, Source!BA29, 1)</f>
        <v>25.13</v>
      </c>
      <c r="K32" s="28">
        <f>Source!S29</f>
        <v>13196.99</v>
      </c>
      <c r="W32">
        <f>I32</f>
        <v>525.15</v>
      </c>
    </row>
    <row r="33" spans="1:28" ht="14.4" x14ac:dyDescent="0.3">
      <c r="A33" s="22"/>
      <c r="B33" s="23"/>
      <c r="C33" s="23" t="s">
        <v>141</v>
      </c>
      <c r="D33" s="25"/>
      <c r="E33" s="24"/>
      <c r="F33" s="27">
        <f>Source!AM29</f>
        <v>1961.67</v>
      </c>
      <c r="G33" s="26" t="str">
        <f>Source!DE29</f>
        <v>)*1,2)*1,15</v>
      </c>
      <c r="H33" s="24">
        <f>Source!AV29</f>
        <v>1.0469999999999999</v>
      </c>
      <c r="I33" s="28">
        <f>ROUND((Source!AD29*Source!AV29)*Source!I29, 2)</f>
        <v>2834.34</v>
      </c>
      <c r="J33" s="24">
        <f>IF(Source!BB29&lt;&gt; 0, Source!BB29, 1)</f>
        <v>8.9600000000000009</v>
      </c>
      <c r="K33" s="28">
        <f>Source!Q29</f>
        <v>25395.67</v>
      </c>
    </row>
    <row r="34" spans="1:28" ht="14.4" x14ac:dyDescent="0.3">
      <c r="A34" s="22"/>
      <c r="B34" s="23"/>
      <c r="C34" s="23" t="s">
        <v>142</v>
      </c>
      <c r="D34" s="25"/>
      <c r="E34" s="24"/>
      <c r="F34" s="27">
        <f>Source!AN29</f>
        <v>321.70999999999998</v>
      </c>
      <c r="G34" s="26" t="str">
        <f>Source!DF29</f>
        <v>)*1,2)*1,15</v>
      </c>
      <c r="H34" s="24">
        <f>Source!AV29</f>
        <v>1.0469999999999999</v>
      </c>
      <c r="I34" s="29">
        <f>ROUND((Source!AE29*Source!AV29)*Source!I29, 2)</f>
        <v>464.83</v>
      </c>
      <c r="J34" s="24">
        <f>IF(Source!BS29&lt;&gt; 0, Source!BS29, 1)</f>
        <v>25.13</v>
      </c>
      <c r="K34" s="29">
        <f>Source!R29</f>
        <v>11681.08</v>
      </c>
      <c r="W34">
        <f>I34</f>
        <v>464.83</v>
      </c>
    </row>
    <row r="35" spans="1:28" ht="14.4" x14ac:dyDescent="0.3">
      <c r="A35" s="22"/>
      <c r="B35" s="23"/>
      <c r="C35" s="23" t="s">
        <v>143</v>
      </c>
      <c r="D35" s="25"/>
      <c r="E35" s="24"/>
      <c r="F35" s="27">
        <f>Source!AL29</f>
        <v>24.5</v>
      </c>
      <c r="G35" s="26" t="str">
        <f>Source!DD29</f>
        <v/>
      </c>
      <c r="H35" s="24">
        <f>Source!AW29</f>
        <v>1</v>
      </c>
      <c r="I35" s="28">
        <f>ROUND((Source!AC29*Source!AW29)*Source!I29, 2)</f>
        <v>24.5</v>
      </c>
      <c r="J35" s="24">
        <f>IF(Source!BC29&lt;&gt; 0, Source!BC29, 1)</f>
        <v>6.17</v>
      </c>
      <c r="K35" s="28">
        <f>Source!P29</f>
        <v>151.16999999999999</v>
      </c>
    </row>
    <row r="36" spans="1:28" ht="14.4" x14ac:dyDescent="0.3">
      <c r="A36" s="22"/>
      <c r="B36" s="23"/>
      <c r="C36" s="23" t="s">
        <v>144</v>
      </c>
      <c r="D36" s="25" t="s">
        <v>145</v>
      </c>
      <c r="E36" s="24">
        <f>Source!DN29</f>
        <v>112</v>
      </c>
      <c r="F36" s="27"/>
      <c r="G36" s="26"/>
      <c r="H36" s="24"/>
      <c r="I36" s="28">
        <f>SUM(Q31:Q35)</f>
        <v>588.16999999999996</v>
      </c>
      <c r="J36" s="24">
        <f>Source!BZ29</f>
        <v>90</v>
      </c>
      <c r="K36" s="28">
        <f>SUM(R31:R35)</f>
        <v>11877.29</v>
      </c>
    </row>
    <row r="37" spans="1:28" ht="14.4" x14ac:dyDescent="0.3">
      <c r="A37" s="22"/>
      <c r="B37" s="23"/>
      <c r="C37" s="23" t="s">
        <v>146</v>
      </c>
      <c r="D37" s="25" t="s">
        <v>145</v>
      </c>
      <c r="E37" s="24">
        <f>Source!DO29</f>
        <v>70</v>
      </c>
      <c r="F37" s="27"/>
      <c r="G37" s="26"/>
      <c r="H37" s="24"/>
      <c r="I37" s="28">
        <f>SUM(S31:S36)</f>
        <v>367.61</v>
      </c>
      <c r="J37" s="24">
        <f>Source!CA29</f>
        <v>43</v>
      </c>
      <c r="K37" s="28">
        <f>SUM(T31:T36)</f>
        <v>5674.71</v>
      </c>
    </row>
    <row r="38" spans="1:28" ht="14.4" x14ac:dyDescent="0.3">
      <c r="A38" s="22"/>
      <c r="B38" s="23"/>
      <c r="C38" s="23" t="s">
        <v>147</v>
      </c>
      <c r="D38" s="25" t="s">
        <v>145</v>
      </c>
      <c r="E38" s="24">
        <f>175</f>
        <v>175</v>
      </c>
      <c r="F38" s="27"/>
      <c r="G38" s="26"/>
      <c r="H38" s="24"/>
      <c r="I38" s="28">
        <f>SUM(U31:U37)</f>
        <v>813.45</v>
      </c>
      <c r="J38" s="24">
        <f>157</f>
        <v>157</v>
      </c>
      <c r="K38" s="28">
        <f>SUM(V31:V37)</f>
        <v>18339.3</v>
      </c>
    </row>
    <row r="39" spans="1:28" ht="14.4" x14ac:dyDescent="0.3">
      <c r="A39" s="31"/>
      <c r="B39" s="32"/>
      <c r="C39" s="32" t="s">
        <v>148</v>
      </c>
      <c r="D39" s="33" t="s">
        <v>149</v>
      </c>
      <c r="E39" s="34">
        <f>Source!AQ29</f>
        <v>28.8</v>
      </c>
      <c r="F39" s="35"/>
      <c r="G39" s="36" t="str">
        <f>Source!DI29</f>
        <v>)*1,2)*1,15</v>
      </c>
      <c r="H39" s="34">
        <f>Source!AV29</f>
        <v>1.0469999999999999</v>
      </c>
      <c r="I39" s="37">
        <f>Source!U29</f>
        <v>41.611967999999997</v>
      </c>
      <c r="J39" s="34"/>
      <c r="K39" s="37"/>
      <c r="AB39" s="30">
        <f>I39</f>
        <v>41.611967999999997</v>
      </c>
    </row>
    <row r="40" spans="1:28" ht="13.8" x14ac:dyDescent="0.25">
      <c r="A40" s="38"/>
      <c r="B40" s="38"/>
      <c r="C40" s="39" t="s">
        <v>150</v>
      </c>
      <c r="D40" s="38"/>
      <c r="E40" s="38"/>
      <c r="F40" s="38"/>
      <c r="G40" s="38"/>
      <c r="H40" s="56">
        <f>I32+I33+I35+I36+I37+I38</f>
        <v>5153.22</v>
      </c>
      <c r="I40" s="56"/>
      <c r="J40" s="56">
        <f>K32+K33+K35+K36+K37+K38</f>
        <v>74635.12999999999</v>
      </c>
      <c r="K40" s="56"/>
      <c r="O40" s="30">
        <f>I32+I33+I35+I36+I37+I38</f>
        <v>5153.22</v>
      </c>
      <c r="P40" s="30">
        <f>K32+K33+K35+K36+K37+K38</f>
        <v>74635.12999999999</v>
      </c>
      <c r="X40">
        <f>IF(Source!BI29&lt;=1,I32+I33+I35+I36+I37+I38-0, 0)</f>
        <v>0</v>
      </c>
      <c r="Y40">
        <f>IF(Source!BI29=2,I32+I33+I35+I36+I37+I38-0, 0)</f>
        <v>5153.22</v>
      </c>
      <c r="Z40">
        <f>IF(Source!BI29=3,I32+I33+I35+I36+I37+I38-0, 0)</f>
        <v>0</v>
      </c>
      <c r="AA40">
        <f>IF(Source!BI29=4,I32+I33+I35+I36+I37+I38,0)</f>
        <v>0</v>
      </c>
    </row>
    <row r="42" spans="1:28" ht="55.2" x14ac:dyDescent="0.3">
      <c r="A42" s="22" t="str">
        <f>Source!E30</f>
        <v>2</v>
      </c>
      <c r="B42" s="23" t="str">
        <f>Source!F30</f>
        <v>4.8-62-1</v>
      </c>
      <c r="C42" s="23" t="s">
        <v>160</v>
      </c>
      <c r="D42" s="25" t="str">
        <f>Source!H30</f>
        <v>1  ШТ.</v>
      </c>
      <c r="E42" s="24">
        <f>Source!I30</f>
        <v>1</v>
      </c>
      <c r="F42" s="27"/>
      <c r="G42" s="26"/>
      <c r="H42" s="24"/>
      <c r="I42" s="28"/>
      <c r="J42" s="24"/>
      <c r="K42" s="28"/>
      <c r="Q42">
        <f>ROUND((Source!DN30/100)*ROUND((Source!AF30*Source!AV30)*Source!I30, 2), 2)</f>
        <v>235.27</v>
      </c>
      <c r="R42">
        <f>Source!X30</f>
        <v>4750.92</v>
      </c>
      <c r="S42">
        <f>ROUND((Source!DO30/100)*ROUND((Source!AF30*Source!AV30)*Source!I30, 2), 2)</f>
        <v>147.04</v>
      </c>
      <c r="T42">
        <f>Source!Y30</f>
        <v>2269.88</v>
      </c>
      <c r="U42">
        <f>ROUND((175/100)*ROUND((Source!AE30*Source!AV30)*Source!I30, 2), 2)</f>
        <v>325.38</v>
      </c>
      <c r="V42">
        <f>ROUND((157/100)*ROUND(Source!CS30*Source!I30, 2), 2)</f>
        <v>7335.72</v>
      </c>
    </row>
    <row r="43" spans="1:28" ht="28.2" x14ac:dyDescent="0.3">
      <c r="A43" s="22"/>
      <c r="B43" s="23"/>
      <c r="C43" s="23" t="s">
        <v>140</v>
      </c>
      <c r="D43" s="25"/>
      <c r="E43" s="24"/>
      <c r="F43" s="27">
        <f>Source!AO30</f>
        <v>363.46</v>
      </c>
      <c r="G43" s="26" t="str">
        <f>Source!DG30</f>
        <v>)*1,2)*1,15)*0,4</v>
      </c>
      <c r="H43" s="24">
        <f>Source!AV30</f>
        <v>1.0469999999999999</v>
      </c>
      <c r="I43" s="28">
        <f>ROUND((Source!AF30*Source!AV30)*Source!I30, 2)</f>
        <v>210.06</v>
      </c>
      <c r="J43" s="24">
        <f>IF(Source!BA30&lt;&gt; 0, Source!BA30, 1)</f>
        <v>25.13</v>
      </c>
      <c r="K43" s="28">
        <f>Source!S30</f>
        <v>5278.8</v>
      </c>
      <c r="W43">
        <f>I43</f>
        <v>210.06</v>
      </c>
    </row>
    <row r="44" spans="1:28" ht="28.2" x14ac:dyDescent="0.3">
      <c r="A44" s="22"/>
      <c r="B44" s="23"/>
      <c r="C44" s="23" t="s">
        <v>141</v>
      </c>
      <c r="D44" s="25"/>
      <c r="E44" s="24"/>
      <c r="F44" s="27">
        <f>Source!AM30</f>
        <v>1961.67</v>
      </c>
      <c r="G44" s="26" t="str">
        <f>Source!DE30</f>
        <v>)*1,2)*1,15)*0,4</v>
      </c>
      <c r="H44" s="24">
        <f>Source!AV30</f>
        <v>1.0469999999999999</v>
      </c>
      <c r="I44" s="28">
        <f>ROUND((Source!AD30*Source!AV30)*Source!I30, 2)</f>
        <v>1133.74</v>
      </c>
      <c r="J44" s="24">
        <f>IF(Source!BB30&lt;&gt; 0, Source!BB30, 1)</f>
        <v>8.9600000000000009</v>
      </c>
      <c r="K44" s="28">
        <f>Source!Q30</f>
        <v>10158.27</v>
      </c>
    </row>
    <row r="45" spans="1:28" ht="28.2" x14ac:dyDescent="0.3">
      <c r="A45" s="22"/>
      <c r="B45" s="23"/>
      <c r="C45" s="23" t="s">
        <v>142</v>
      </c>
      <c r="D45" s="25"/>
      <c r="E45" s="24"/>
      <c r="F45" s="27">
        <f>Source!AN30</f>
        <v>321.70999999999998</v>
      </c>
      <c r="G45" s="26" t="str">
        <f>Source!DF30</f>
        <v>)*1,2)*1,15)*0,4</v>
      </c>
      <c r="H45" s="24">
        <f>Source!AV30</f>
        <v>1.0469999999999999</v>
      </c>
      <c r="I45" s="29">
        <f>ROUND((Source!AE30*Source!AV30)*Source!I30, 2)</f>
        <v>185.93</v>
      </c>
      <c r="J45" s="24">
        <f>IF(Source!BS30&lt;&gt; 0, Source!BS30, 1)</f>
        <v>25.13</v>
      </c>
      <c r="K45" s="29">
        <f>Source!R30</f>
        <v>4672.43</v>
      </c>
      <c r="W45">
        <f>I45</f>
        <v>185.93</v>
      </c>
    </row>
    <row r="46" spans="1:28" ht="14.4" x14ac:dyDescent="0.3">
      <c r="A46" s="22"/>
      <c r="B46" s="23"/>
      <c r="C46" s="23" t="s">
        <v>144</v>
      </c>
      <c r="D46" s="25" t="s">
        <v>145</v>
      </c>
      <c r="E46" s="24">
        <f>Source!DN30</f>
        <v>112</v>
      </c>
      <c r="F46" s="27"/>
      <c r="G46" s="26"/>
      <c r="H46" s="24"/>
      <c r="I46" s="28">
        <f>SUM(Q42:Q45)</f>
        <v>235.27</v>
      </c>
      <c r="J46" s="24">
        <f>Source!BZ30</f>
        <v>90</v>
      </c>
      <c r="K46" s="28">
        <f>SUM(R42:R45)</f>
        <v>4750.92</v>
      </c>
    </row>
    <row r="47" spans="1:28" ht="14.4" x14ac:dyDescent="0.3">
      <c r="A47" s="22"/>
      <c r="B47" s="23"/>
      <c r="C47" s="23" t="s">
        <v>146</v>
      </c>
      <c r="D47" s="25" t="s">
        <v>145</v>
      </c>
      <c r="E47" s="24">
        <f>Source!DO30</f>
        <v>70</v>
      </c>
      <c r="F47" s="27"/>
      <c r="G47" s="26"/>
      <c r="H47" s="24"/>
      <c r="I47" s="28">
        <f>SUM(S42:S46)</f>
        <v>147.04</v>
      </c>
      <c r="J47" s="24">
        <f>Source!CA30</f>
        <v>43</v>
      </c>
      <c r="K47" s="28">
        <f>SUM(T42:T46)</f>
        <v>2269.88</v>
      </c>
    </row>
    <row r="48" spans="1:28" ht="14.4" x14ac:dyDescent="0.3">
      <c r="A48" s="22"/>
      <c r="B48" s="23"/>
      <c r="C48" s="23" t="s">
        <v>147</v>
      </c>
      <c r="D48" s="25" t="s">
        <v>145</v>
      </c>
      <c r="E48" s="24">
        <f>175</f>
        <v>175</v>
      </c>
      <c r="F48" s="27"/>
      <c r="G48" s="26"/>
      <c r="H48" s="24"/>
      <c r="I48" s="28">
        <f>SUM(U42:U47)</f>
        <v>325.38</v>
      </c>
      <c r="J48" s="24">
        <f>157</f>
        <v>157</v>
      </c>
      <c r="K48" s="28">
        <f>SUM(V42:V47)</f>
        <v>7335.72</v>
      </c>
    </row>
    <row r="49" spans="1:28" ht="28.2" x14ac:dyDescent="0.3">
      <c r="A49" s="31"/>
      <c r="B49" s="32"/>
      <c r="C49" s="32" t="s">
        <v>148</v>
      </c>
      <c r="D49" s="33" t="s">
        <v>149</v>
      </c>
      <c r="E49" s="34">
        <f>Source!AQ30</f>
        <v>28.8</v>
      </c>
      <c r="F49" s="35"/>
      <c r="G49" s="36" t="str">
        <f>Source!DI30</f>
        <v>)*1,2)*1,15)*0,4</v>
      </c>
      <c r="H49" s="34">
        <f>Source!AV30</f>
        <v>1.0469999999999999</v>
      </c>
      <c r="I49" s="37">
        <f>Source!U30</f>
        <v>16.6447872</v>
      </c>
      <c r="J49" s="34"/>
      <c r="K49" s="37"/>
      <c r="AB49" s="30">
        <f>I49</f>
        <v>16.6447872</v>
      </c>
    </row>
    <row r="50" spans="1:28" ht="13.8" x14ac:dyDescent="0.25">
      <c r="A50" s="38"/>
      <c r="B50" s="38"/>
      <c r="C50" s="39" t="s">
        <v>150</v>
      </c>
      <c r="D50" s="38"/>
      <c r="E50" s="38"/>
      <c r="F50" s="38"/>
      <c r="G50" s="38"/>
      <c r="H50" s="56">
        <f>I43+I44+I46+I47+I48</f>
        <v>2051.4899999999998</v>
      </c>
      <c r="I50" s="56"/>
      <c r="J50" s="56">
        <f>K43+K44+K46+K47+K48</f>
        <v>29793.59</v>
      </c>
      <c r="K50" s="56"/>
      <c r="O50" s="30">
        <f>I43+I44+I46+I47+I48</f>
        <v>2051.4899999999998</v>
      </c>
      <c r="P50" s="30">
        <f>K43+K44+K46+K47+K48</f>
        <v>29793.59</v>
      </c>
      <c r="X50">
        <f>IF(Source!BI30&lt;=1,I43+I44+I46+I47+I48-0, 0)</f>
        <v>0</v>
      </c>
      <c r="Y50">
        <f>IF(Source!BI30=2,I43+I44+I46+I47+I48-0, 0)</f>
        <v>2051.4899999999998</v>
      </c>
      <c r="Z50">
        <f>IF(Source!BI30=3,I43+I44+I46+I47+I48-0, 0)</f>
        <v>0</v>
      </c>
      <c r="AA50">
        <f>IF(Source!BI30=4,I43+I44+I46+I47+I48,0)</f>
        <v>0</v>
      </c>
    </row>
    <row r="52" spans="1:28" ht="27.6" x14ac:dyDescent="0.3">
      <c r="A52" s="22" t="str">
        <f>Source!E31</f>
        <v>3</v>
      </c>
      <c r="B52" s="23" t="str">
        <f>Source!F31</f>
        <v>4.8-34-1</v>
      </c>
      <c r="C52" s="23" t="s">
        <v>35</v>
      </c>
      <c r="D52" s="25" t="str">
        <f>Source!H31</f>
        <v>1  ШТ.</v>
      </c>
      <c r="E52" s="24">
        <f>Source!I31</f>
        <v>1</v>
      </c>
      <c r="F52" s="27"/>
      <c r="G52" s="26"/>
      <c r="H52" s="24"/>
      <c r="I52" s="28"/>
      <c r="J52" s="24"/>
      <c r="K52" s="28"/>
      <c r="Q52">
        <f>ROUND((Source!DN31/100)*ROUND((Source!AF31*Source!AV31)*Source!I31, 2), 2)</f>
        <v>43.9</v>
      </c>
      <c r="R52">
        <f>Source!X31</f>
        <v>886.56</v>
      </c>
      <c r="S52">
        <f>ROUND((Source!DO31/100)*ROUND((Source!AF31*Source!AV31)*Source!I31, 2), 2)</f>
        <v>27.44</v>
      </c>
      <c r="T52">
        <f>Source!Y31</f>
        <v>423.58</v>
      </c>
      <c r="U52">
        <f>ROUND((175/100)*ROUND((Source!AE31*Source!AV31)*Source!I31, 2), 2)</f>
        <v>2.61</v>
      </c>
      <c r="V52">
        <f>ROUND((157/100)*ROUND(Source!CS31*Source!I31, 2), 2)</f>
        <v>58.72</v>
      </c>
    </row>
    <row r="53" spans="1:28" ht="14.4" x14ac:dyDescent="0.3">
      <c r="A53" s="22"/>
      <c r="B53" s="23"/>
      <c r="C53" s="23" t="s">
        <v>140</v>
      </c>
      <c r="D53" s="25"/>
      <c r="E53" s="24"/>
      <c r="F53" s="27">
        <f>Source!AO31</f>
        <v>27.13</v>
      </c>
      <c r="G53" s="26" t="str">
        <f>Source!DG31</f>
        <v>)*1,2)*1,15)</v>
      </c>
      <c r="H53" s="24">
        <f>Source!AV31</f>
        <v>1.0469999999999999</v>
      </c>
      <c r="I53" s="28">
        <f>ROUND((Source!AF31*Source!AV31)*Source!I31, 2)</f>
        <v>39.200000000000003</v>
      </c>
      <c r="J53" s="24">
        <f>IF(Source!BA31&lt;&gt; 0, Source!BA31, 1)</f>
        <v>25.13</v>
      </c>
      <c r="K53" s="28">
        <f>Source!S31</f>
        <v>985.07</v>
      </c>
      <c r="W53">
        <f>I53</f>
        <v>39.200000000000003</v>
      </c>
    </row>
    <row r="54" spans="1:28" ht="14.4" x14ac:dyDescent="0.3">
      <c r="A54" s="22"/>
      <c r="B54" s="23"/>
      <c r="C54" s="23" t="s">
        <v>141</v>
      </c>
      <c r="D54" s="25"/>
      <c r="E54" s="24"/>
      <c r="F54" s="27">
        <f>Source!AM31</f>
        <v>5.16</v>
      </c>
      <c r="G54" s="26" t="str">
        <f>Source!DE31</f>
        <v>)*1,2)*1,15)</v>
      </c>
      <c r="H54" s="24">
        <f>Source!AV31</f>
        <v>1.0469999999999999</v>
      </c>
      <c r="I54" s="28">
        <f>ROUND((Source!AD31*Source!AV31)*Source!I31, 2)</f>
        <v>7.46</v>
      </c>
      <c r="J54" s="24">
        <f>IF(Source!BB31&lt;&gt; 0, Source!BB31, 1)</f>
        <v>9.65</v>
      </c>
      <c r="K54" s="28">
        <f>Source!Q31</f>
        <v>71.95</v>
      </c>
    </row>
    <row r="55" spans="1:28" ht="14.4" x14ac:dyDescent="0.3">
      <c r="A55" s="22"/>
      <c r="B55" s="23"/>
      <c r="C55" s="23" t="s">
        <v>142</v>
      </c>
      <c r="D55" s="25"/>
      <c r="E55" s="24"/>
      <c r="F55" s="27">
        <f>Source!AN31</f>
        <v>1.03</v>
      </c>
      <c r="G55" s="26" t="str">
        <f>Source!DF31</f>
        <v>)*1,2)*1,15)</v>
      </c>
      <c r="H55" s="24">
        <f>Source!AV31</f>
        <v>1.0469999999999999</v>
      </c>
      <c r="I55" s="29">
        <f>ROUND((Source!AE31*Source!AV31)*Source!I31, 2)</f>
        <v>1.49</v>
      </c>
      <c r="J55" s="24">
        <f>IF(Source!BS31&lt;&gt; 0, Source!BS31, 1)</f>
        <v>25.13</v>
      </c>
      <c r="K55" s="29">
        <f>Source!R31</f>
        <v>37.4</v>
      </c>
      <c r="W55">
        <f>I55</f>
        <v>1.49</v>
      </c>
    </row>
    <row r="56" spans="1:28" ht="14.4" x14ac:dyDescent="0.3">
      <c r="A56" s="22"/>
      <c r="B56" s="23"/>
      <c r="C56" s="23" t="s">
        <v>143</v>
      </c>
      <c r="D56" s="25"/>
      <c r="E56" s="24"/>
      <c r="F56" s="27">
        <f>Source!AL31</f>
        <v>7.56</v>
      </c>
      <c r="G56" s="26" t="str">
        <f>Source!DD31</f>
        <v/>
      </c>
      <c r="H56" s="24">
        <f>Source!AW31</f>
        <v>1</v>
      </c>
      <c r="I56" s="28">
        <f>ROUND((Source!AC31*Source!AW31)*Source!I31, 2)</f>
        <v>7.56</v>
      </c>
      <c r="J56" s="24">
        <f>IF(Source!BC31&lt;&gt; 0, Source!BC31, 1)</f>
        <v>6.17</v>
      </c>
      <c r="K56" s="28">
        <f>Source!P31</f>
        <v>46.65</v>
      </c>
    </row>
    <row r="57" spans="1:28" ht="14.4" x14ac:dyDescent="0.3">
      <c r="A57" s="22"/>
      <c r="B57" s="23"/>
      <c r="C57" s="23" t="s">
        <v>144</v>
      </c>
      <c r="D57" s="25" t="s">
        <v>145</v>
      </c>
      <c r="E57" s="24">
        <f>Source!DN31</f>
        <v>112</v>
      </c>
      <c r="F57" s="27"/>
      <c r="G57" s="26"/>
      <c r="H57" s="24"/>
      <c r="I57" s="28">
        <f>SUM(Q52:Q56)</f>
        <v>43.9</v>
      </c>
      <c r="J57" s="24">
        <f>Source!BZ31</f>
        <v>90</v>
      </c>
      <c r="K57" s="28">
        <f>SUM(R52:R56)</f>
        <v>886.56</v>
      </c>
    </row>
    <row r="58" spans="1:28" ht="14.4" x14ac:dyDescent="0.3">
      <c r="A58" s="22"/>
      <c r="B58" s="23"/>
      <c r="C58" s="23" t="s">
        <v>146</v>
      </c>
      <c r="D58" s="25" t="s">
        <v>145</v>
      </c>
      <c r="E58" s="24">
        <f>Source!DO31</f>
        <v>70</v>
      </c>
      <c r="F58" s="27"/>
      <c r="G58" s="26"/>
      <c r="H58" s="24"/>
      <c r="I58" s="28">
        <f>SUM(S52:S57)</f>
        <v>27.44</v>
      </c>
      <c r="J58" s="24">
        <f>Source!CA31</f>
        <v>43</v>
      </c>
      <c r="K58" s="28">
        <f>SUM(T52:T57)</f>
        <v>423.58</v>
      </c>
    </row>
    <row r="59" spans="1:28" ht="14.4" x14ac:dyDescent="0.3">
      <c r="A59" s="22"/>
      <c r="B59" s="23"/>
      <c r="C59" s="23" t="s">
        <v>147</v>
      </c>
      <c r="D59" s="25" t="s">
        <v>145</v>
      </c>
      <c r="E59" s="24">
        <f>175</f>
        <v>175</v>
      </c>
      <c r="F59" s="27"/>
      <c r="G59" s="26"/>
      <c r="H59" s="24"/>
      <c r="I59" s="28">
        <f>SUM(U52:U58)</f>
        <v>2.61</v>
      </c>
      <c r="J59" s="24">
        <f>157</f>
        <v>157</v>
      </c>
      <c r="K59" s="28">
        <f>SUM(V52:V58)</f>
        <v>58.72</v>
      </c>
    </row>
    <row r="60" spans="1:28" ht="14.4" x14ac:dyDescent="0.3">
      <c r="A60" s="31"/>
      <c r="B60" s="32"/>
      <c r="C60" s="32" t="s">
        <v>148</v>
      </c>
      <c r="D60" s="33" t="s">
        <v>149</v>
      </c>
      <c r="E60" s="34">
        <f>Source!AQ31</f>
        <v>2.15</v>
      </c>
      <c r="F60" s="35"/>
      <c r="G60" s="36" t="str">
        <f>Source!DI31</f>
        <v>)*1,2)*1,15)</v>
      </c>
      <c r="H60" s="34">
        <f>Source!AV31</f>
        <v>1.0469999999999999</v>
      </c>
      <c r="I60" s="37">
        <f>Source!U31</f>
        <v>3.1064489999999991</v>
      </c>
      <c r="J60" s="34"/>
      <c r="K60" s="37"/>
      <c r="AB60" s="30">
        <f>I60</f>
        <v>3.1064489999999991</v>
      </c>
    </row>
    <row r="61" spans="1:28" ht="13.8" x14ac:dyDescent="0.25">
      <c r="A61" s="38"/>
      <c r="B61" s="38"/>
      <c r="C61" s="39" t="s">
        <v>150</v>
      </c>
      <c r="D61" s="38"/>
      <c r="E61" s="38"/>
      <c r="F61" s="38"/>
      <c r="G61" s="38"/>
      <c r="H61" s="56">
        <f>I53+I54+I56+I57+I58+I59</f>
        <v>128.17000000000002</v>
      </c>
      <c r="I61" s="56"/>
      <c r="J61" s="56">
        <f>K53+K54+K56+K57+K58+K59</f>
        <v>2472.5299999999997</v>
      </c>
      <c r="K61" s="56"/>
      <c r="O61" s="30">
        <f>I53+I54+I56+I57+I58+I59</f>
        <v>128.17000000000002</v>
      </c>
      <c r="P61" s="30">
        <f>K53+K54+K56+K57+K58+K59</f>
        <v>2472.5299999999997</v>
      </c>
      <c r="X61">
        <f>IF(Source!BI31&lt;=1,I53+I54+I56+I57+I58+I59-0, 0)</f>
        <v>0</v>
      </c>
      <c r="Y61">
        <f>IF(Source!BI31=2,I53+I54+I56+I57+I58+I59-0, 0)</f>
        <v>128.17000000000002</v>
      </c>
      <c r="Z61">
        <f>IF(Source!BI31=3,I53+I54+I56+I57+I58+I59-0, 0)</f>
        <v>0</v>
      </c>
      <c r="AA61">
        <f>IF(Source!BI31=4,I53+I54+I56+I57+I58+I59,0)</f>
        <v>0</v>
      </c>
    </row>
    <row r="64" spans="1:28" ht="13.8" x14ac:dyDescent="0.25">
      <c r="A64" s="49" t="str">
        <f>CONCATENATE("Итого по разделу: ",IF(Source!G33&lt;&gt;"Новый раздел", Source!G33, ""))</f>
        <v>Итого по разделу: Монтажные работы и материалы</v>
      </c>
      <c r="B64" s="49"/>
      <c r="C64" s="49"/>
      <c r="D64" s="49"/>
      <c r="E64" s="49"/>
      <c r="F64" s="49"/>
      <c r="G64" s="49"/>
      <c r="H64" s="62">
        <f>SUM(O29:O63)</f>
        <v>7332.88</v>
      </c>
      <c r="I64" s="63"/>
      <c r="J64" s="62">
        <f>SUM(P29:P63)</f>
        <v>106901.24999999999</v>
      </c>
      <c r="K64" s="63"/>
    </row>
    <row r="65" spans="1:27" hidden="1" x14ac:dyDescent="0.25">
      <c r="A65" t="s">
        <v>151</v>
      </c>
      <c r="I65">
        <f>SUM(AC29:AC64)</f>
        <v>0</v>
      </c>
      <c r="J65">
        <f>SUM(AD29:AD64)</f>
        <v>0</v>
      </c>
    </row>
    <row r="66" spans="1:27" hidden="1" x14ac:dyDescent="0.25">
      <c r="A66" t="s">
        <v>152</v>
      </c>
      <c r="I66">
        <f>SUM(AE29:AE65)</f>
        <v>0</v>
      </c>
      <c r="J66">
        <f>SUM(AF29:AF65)</f>
        <v>0</v>
      </c>
    </row>
    <row r="68" spans="1:27" ht="16.8" x14ac:dyDescent="0.3">
      <c r="A68" s="61" t="str">
        <f>CONCATENATE("Раздел: ",IF(Source!G63&lt;&gt;"Новый раздел", Source!G63, ""))</f>
        <v>Раздел: Оборудование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</row>
    <row r="69" spans="1:27" ht="53.4" x14ac:dyDescent="0.3">
      <c r="A69" s="31" t="str">
        <f>Source!E67</f>
        <v>3</v>
      </c>
      <c r="B69" s="32" t="s">
        <v>161</v>
      </c>
      <c r="C69" s="32" t="s">
        <v>162</v>
      </c>
      <c r="D69" s="33" t="str">
        <f>Source!H67</f>
        <v>ШТ</v>
      </c>
      <c r="E69" s="34">
        <f>Source!I67</f>
        <v>1</v>
      </c>
      <c r="F69" s="35">
        <f>Source!AL67</f>
        <v>557172.01</v>
      </c>
      <c r="G69" s="36" t="str">
        <f>Source!DD67</f>
        <v/>
      </c>
      <c r="H69" s="34">
        <f>Source!AW67</f>
        <v>1</v>
      </c>
      <c r="I69" s="37">
        <f>ROUND((Source!AC67*Source!AW67)*Source!I67, 2)</f>
        <v>557172.01</v>
      </c>
      <c r="J69" s="34">
        <f>IF(Source!BC67&lt;&gt; 0, Source!BC67, 1)</f>
        <v>4.7699999999999996</v>
      </c>
      <c r="K69" s="37">
        <f>Source!P67</f>
        <v>2657710.4900000002</v>
      </c>
      <c r="Q69">
        <f>ROUND((Source!DN67/100)*ROUND((Source!AF67*Source!AV67)*Source!I67, 2), 2)</f>
        <v>0</v>
      </c>
      <c r="R69">
        <f>Source!X67</f>
        <v>0</v>
      </c>
      <c r="S69">
        <f>ROUND((Source!DO67/100)*ROUND((Source!AF67*Source!AV67)*Source!I67, 2), 2)</f>
        <v>0</v>
      </c>
      <c r="T69">
        <f>Source!Y67</f>
        <v>0</v>
      </c>
      <c r="U69">
        <f>ROUND((175/100)*ROUND((Source!AE67*Source!AV67)*Source!I67, 2), 2)</f>
        <v>0</v>
      </c>
      <c r="V69">
        <f>ROUND((157/100)*ROUND(Source!CS67*Source!I67, 2), 2)</f>
        <v>0</v>
      </c>
    </row>
    <row r="70" spans="1:27" ht="13.8" x14ac:dyDescent="0.25">
      <c r="A70" s="38"/>
      <c r="B70" s="38"/>
      <c r="C70" s="39" t="s">
        <v>150</v>
      </c>
      <c r="D70" s="38"/>
      <c r="E70" s="38"/>
      <c r="F70" s="38"/>
      <c r="G70" s="38"/>
      <c r="H70" s="56">
        <f>I69</f>
        <v>557172.01</v>
      </c>
      <c r="I70" s="56"/>
      <c r="J70" s="56">
        <f>K69</f>
        <v>2657710.4900000002</v>
      </c>
      <c r="K70" s="56"/>
      <c r="O70" s="30">
        <f>I69</f>
        <v>557172.01</v>
      </c>
      <c r="P70" s="30">
        <f>K69</f>
        <v>2657710.4900000002</v>
      </c>
      <c r="X70">
        <f>IF(Source!BI67&lt;=1,I69-0, 0)</f>
        <v>0</v>
      </c>
      <c r="Y70">
        <f>IF(Source!BI67=2,I69-0, 0)</f>
        <v>0</v>
      </c>
      <c r="Z70">
        <f>IF(Source!BI67=3,I69-0, 0)</f>
        <v>557172.01</v>
      </c>
      <c r="AA70">
        <f>IF(Source!BI67=4,I69,0)</f>
        <v>0</v>
      </c>
    </row>
    <row r="72" spans="1:27" ht="40.200000000000003" x14ac:dyDescent="0.3">
      <c r="A72" s="31" t="str">
        <f>Source!E68</f>
        <v>4</v>
      </c>
      <c r="B72" s="32" t="s">
        <v>161</v>
      </c>
      <c r="C72" s="32" t="s">
        <v>153</v>
      </c>
      <c r="D72" s="33" t="str">
        <f>Source!H68</f>
        <v>ШТ</v>
      </c>
      <c r="E72" s="34">
        <f>Source!I68</f>
        <v>1</v>
      </c>
      <c r="F72" s="35">
        <f>Source!AL68</f>
        <v>17299.830000000002</v>
      </c>
      <c r="G72" s="36" t="str">
        <f>Source!DD68</f>
        <v/>
      </c>
      <c r="H72" s="34">
        <f>Source!AW68</f>
        <v>1</v>
      </c>
      <c r="I72" s="37">
        <f>ROUND((Source!AC68*Source!AW68)*Source!I68, 2)</f>
        <v>17299.830000000002</v>
      </c>
      <c r="J72" s="34">
        <f>IF(Source!BC68&lt;&gt; 0, Source!BC68, 1)</f>
        <v>4.7699999999999996</v>
      </c>
      <c r="K72" s="37">
        <f>Source!P68</f>
        <v>82520.19</v>
      </c>
      <c r="Q72">
        <f>ROUND((Source!DN68/100)*ROUND((Source!AF68*Source!AV68)*Source!I68, 2), 2)</f>
        <v>0</v>
      </c>
      <c r="R72">
        <f>Source!X68</f>
        <v>0</v>
      </c>
      <c r="S72">
        <f>ROUND((Source!DO68/100)*ROUND((Source!AF68*Source!AV68)*Source!I68, 2), 2)</f>
        <v>0</v>
      </c>
      <c r="T72">
        <f>Source!Y68</f>
        <v>0</v>
      </c>
      <c r="U72">
        <f>ROUND((175/100)*ROUND((Source!AE68*Source!AV68)*Source!I68, 2), 2)</f>
        <v>0</v>
      </c>
      <c r="V72">
        <f>ROUND((157/100)*ROUND(Source!CS68*Source!I68, 2), 2)</f>
        <v>0</v>
      </c>
    </row>
    <row r="73" spans="1:27" ht="13.8" x14ac:dyDescent="0.25">
      <c r="A73" s="38"/>
      <c r="B73" s="38"/>
      <c r="C73" s="39" t="s">
        <v>150</v>
      </c>
      <c r="D73" s="38"/>
      <c r="E73" s="38"/>
      <c r="F73" s="38"/>
      <c r="G73" s="38"/>
      <c r="H73" s="56">
        <f>I72</f>
        <v>17299.830000000002</v>
      </c>
      <c r="I73" s="56"/>
      <c r="J73" s="56">
        <f>K72</f>
        <v>82520.19</v>
      </c>
      <c r="K73" s="56"/>
      <c r="O73" s="30">
        <f>I72</f>
        <v>17299.830000000002</v>
      </c>
      <c r="P73" s="30">
        <f>K72</f>
        <v>82520.19</v>
      </c>
      <c r="X73">
        <f>IF(Source!BI68&lt;=1,I72-0, 0)</f>
        <v>0</v>
      </c>
      <c r="Y73">
        <f>IF(Source!BI68=2,I72-0, 0)</f>
        <v>0</v>
      </c>
      <c r="Z73">
        <f>IF(Source!BI68=3,I72-0, 0)</f>
        <v>17299.830000000002</v>
      </c>
      <c r="AA73">
        <f>IF(Source!BI68=4,I72,0)</f>
        <v>0</v>
      </c>
    </row>
    <row r="75" spans="1:27" ht="40.200000000000003" x14ac:dyDescent="0.3">
      <c r="A75" s="31" t="str">
        <f>Source!E69</f>
        <v>5</v>
      </c>
      <c r="B75" s="32" t="s">
        <v>161</v>
      </c>
      <c r="C75" s="32" t="s">
        <v>154</v>
      </c>
      <c r="D75" s="33" t="str">
        <f>Source!H69</f>
        <v>ШТ</v>
      </c>
      <c r="E75" s="34">
        <f>Source!I69</f>
        <v>1</v>
      </c>
      <c r="F75" s="35">
        <f>Source!AL69</f>
        <v>5917.8499999999995</v>
      </c>
      <c r="G75" s="36" t="str">
        <f>Source!DD69</f>
        <v/>
      </c>
      <c r="H75" s="34">
        <f>Source!AW69</f>
        <v>1</v>
      </c>
      <c r="I75" s="37">
        <f>ROUND((Source!AC69*Source!AW69)*Source!I69, 2)</f>
        <v>5917.85</v>
      </c>
      <c r="J75" s="34">
        <f>IF(Source!BC69&lt;&gt; 0, Source!BC69, 1)</f>
        <v>4.7699999999999996</v>
      </c>
      <c r="K75" s="37">
        <f>Source!P69</f>
        <v>28228.14</v>
      </c>
      <c r="Q75">
        <f>ROUND((Source!DN69/100)*ROUND((Source!AF69*Source!AV69)*Source!I69, 2), 2)</f>
        <v>0</v>
      </c>
      <c r="R75">
        <f>Source!X69</f>
        <v>0</v>
      </c>
      <c r="S75">
        <f>ROUND((Source!DO69/100)*ROUND((Source!AF69*Source!AV69)*Source!I69, 2), 2)</f>
        <v>0</v>
      </c>
      <c r="T75">
        <f>Source!Y69</f>
        <v>0</v>
      </c>
      <c r="U75">
        <f>ROUND((175/100)*ROUND((Source!AE69*Source!AV69)*Source!I69, 2), 2)</f>
        <v>0</v>
      </c>
      <c r="V75">
        <f>ROUND((157/100)*ROUND(Source!CS69*Source!I69, 2), 2)</f>
        <v>0</v>
      </c>
    </row>
    <row r="76" spans="1:27" ht="13.8" x14ac:dyDescent="0.25">
      <c r="A76" s="38"/>
      <c r="B76" s="38"/>
      <c r="C76" s="39" t="s">
        <v>150</v>
      </c>
      <c r="D76" s="38"/>
      <c r="E76" s="38"/>
      <c r="F76" s="38"/>
      <c r="G76" s="38"/>
      <c r="H76" s="56">
        <f>I75</f>
        <v>5917.85</v>
      </c>
      <c r="I76" s="56"/>
      <c r="J76" s="56">
        <f>K75</f>
        <v>28228.14</v>
      </c>
      <c r="K76" s="56"/>
      <c r="O76" s="30">
        <f>I75</f>
        <v>5917.85</v>
      </c>
      <c r="P76" s="30">
        <f>K75</f>
        <v>28228.14</v>
      </c>
      <c r="X76">
        <f>IF(Source!BI69&lt;=1,I75-0, 0)</f>
        <v>0</v>
      </c>
      <c r="Y76">
        <f>IF(Source!BI69=2,I75-0, 0)</f>
        <v>0</v>
      </c>
      <c r="Z76">
        <f>IF(Source!BI69=3,I75-0, 0)</f>
        <v>5917.85</v>
      </c>
      <c r="AA76">
        <f>IF(Source!BI69=4,I75,0)</f>
        <v>0</v>
      </c>
    </row>
    <row r="79" spans="1:27" ht="13.8" x14ac:dyDescent="0.25">
      <c r="A79" s="49" t="str">
        <f>CONCATENATE("Итого по разделу: ",IF(Source!G71&lt;&gt;"Новый раздел", Source!G71, ""))</f>
        <v>Итого по разделу: Оборудование</v>
      </c>
      <c r="B79" s="49"/>
      <c r="C79" s="49"/>
      <c r="D79" s="49"/>
      <c r="E79" s="49"/>
      <c r="F79" s="49"/>
      <c r="G79" s="49"/>
      <c r="H79" s="62">
        <f>SUM(O68:O78)</f>
        <v>580389.68999999994</v>
      </c>
      <c r="I79" s="63"/>
      <c r="J79" s="62">
        <f>SUM(P68:P78)</f>
        <v>2768458.8200000003</v>
      </c>
      <c r="K79" s="63"/>
    </row>
    <row r="80" spans="1:27" hidden="1" x14ac:dyDescent="0.25">
      <c r="A80" t="s">
        <v>151</v>
      </c>
      <c r="I80">
        <f>SUM(AC68:AC79)</f>
        <v>0</v>
      </c>
      <c r="J80">
        <f>SUM(AD68:AD79)</f>
        <v>0</v>
      </c>
    </row>
    <row r="81" spans="1:38" hidden="1" x14ac:dyDescent="0.25">
      <c r="A81" t="s">
        <v>152</v>
      </c>
      <c r="I81">
        <f>SUM(AE68:AE80)</f>
        <v>0</v>
      </c>
      <c r="J81">
        <f>SUM(AF68:AF80)</f>
        <v>0</v>
      </c>
    </row>
    <row r="83" spans="1:38" ht="13.8" x14ac:dyDescent="0.25">
      <c r="A83" s="49" t="str">
        <f>CONCATENATE("Итого по локальной смете: ",IF(Source!G101&lt;&gt;"Новая локальная смета", Source!G101, ""))</f>
        <v xml:space="preserve">Итого по локальной смете: </v>
      </c>
      <c r="B83" s="49"/>
      <c r="C83" s="49"/>
      <c r="D83" s="49"/>
      <c r="E83" s="49"/>
      <c r="F83" s="49"/>
      <c r="G83" s="49"/>
      <c r="H83" s="62">
        <f>SUM(O29:O82)</f>
        <v>587722.56999999995</v>
      </c>
      <c r="I83" s="63"/>
      <c r="J83" s="62">
        <f>SUM(P29:P82)</f>
        <v>2875360.0700000003</v>
      </c>
      <c r="K83" s="63"/>
      <c r="AL83" s="40" t="str">
        <f>CONCATENATE("Итого по локальной смете: ",IF(Source!G101&lt;&gt;"Новая локальная смета", Source!G101, ""))</f>
        <v xml:space="preserve">Итого по локальной смете: </v>
      </c>
    </row>
    <row r="84" spans="1:38" hidden="1" x14ac:dyDescent="0.25">
      <c r="A84" t="s">
        <v>151</v>
      </c>
      <c r="I84">
        <f>SUM(AC29:AC83)</f>
        <v>0</v>
      </c>
      <c r="J84">
        <f>SUM(AD29:AD83)</f>
        <v>0</v>
      </c>
    </row>
    <row r="85" spans="1:38" hidden="1" x14ac:dyDescent="0.25">
      <c r="A85" t="s">
        <v>152</v>
      </c>
      <c r="I85">
        <f>SUM(AE29:AE84)</f>
        <v>0</v>
      </c>
      <c r="J85">
        <f>SUM(AF29:AF84)</f>
        <v>0</v>
      </c>
    </row>
    <row r="86" spans="1:38" ht="13.8" x14ac:dyDescent="0.25">
      <c r="C86" s="48" t="str">
        <f>Source!H103</f>
        <v>Прямые затраты</v>
      </c>
      <c r="D86" s="48"/>
      <c r="E86" s="48"/>
      <c r="F86" s="48"/>
      <c r="G86" s="48"/>
      <c r="H86" s="48"/>
      <c r="I86" s="48"/>
      <c r="J86" s="64">
        <f>IF(Source!F103=0, "", Source!F103)</f>
        <v>2823743.39</v>
      </c>
      <c r="K86" s="64"/>
    </row>
    <row r="87" spans="1:38" ht="13.8" x14ac:dyDescent="0.25">
      <c r="C87" s="48" t="str">
        <f>Source!H110</f>
        <v>Стоимость оборудования (всего)</v>
      </c>
      <c r="D87" s="48"/>
      <c r="E87" s="48"/>
      <c r="F87" s="48"/>
      <c r="G87" s="48"/>
      <c r="H87" s="48"/>
      <c r="I87" s="48"/>
      <c r="J87" s="64">
        <f>IF(Source!F110=0, "", Source!F110)</f>
        <v>2768458.82</v>
      </c>
      <c r="K87" s="64"/>
    </row>
    <row r="88" spans="1:38" ht="13.8" x14ac:dyDescent="0.25">
      <c r="C88" s="48" t="str">
        <f>Source!H113</f>
        <v>Эксплуатация машин</v>
      </c>
      <c r="D88" s="48"/>
      <c r="E88" s="48"/>
      <c r="F88" s="48"/>
      <c r="G88" s="48"/>
      <c r="H88" s="48"/>
      <c r="I88" s="48"/>
      <c r="J88" s="64">
        <f>IF(Source!F113=0, "", Source!F113)</f>
        <v>35625.89</v>
      </c>
      <c r="K88" s="64"/>
    </row>
    <row r="89" spans="1:38" ht="13.8" x14ac:dyDescent="0.25">
      <c r="C89" s="48" t="str">
        <f>Source!H115</f>
        <v>ЗП машинистов</v>
      </c>
      <c r="D89" s="48"/>
      <c r="E89" s="48"/>
      <c r="F89" s="48"/>
      <c r="G89" s="48"/>
      <c r="H89" s="48"/>
      <c r="I89" s="48"/>
      <c r="J89" s="64">
        <f>IF(Source!F115=0, "", Source!F115)</f>
        <v>16390.91</v>
      </c>
      <c r="K89" s="64"/>
    </row>
    <row r="90" spans="1:38" ht="13.8" x14ac:dyDescent="0.25">
      <c r="C90" s="48" t="str">
        <f>Source!H116</f>
        <v>Основная ЗП рабочих</v>
      </c>
      <c r="D90" s="48"/>
      <c r="E90" s="48"/>
      <c r="F90" s="48"/>
      <c r="G90" s="48"/>
      <c r="H90" s="48"/>
      <c r="I90" s="48"/>
      <c r="J90" s="64">
        <f>IF(Source!F116=0, "", Source!F116)</f>
        <v>19460.86</v>
      </c>
      <c r="K90" s="64"/>
    </row>
    <row r="91" spans="1:38" ht="13.8" x14ac:dyDescent="0.25">
      <c r="C91" s="48" t="str">
        <f>Source!H119</f>
        <v>Монтажные работы с НР и СП</v>
      </c>
      <c r="D91" s="48"/>
      <c r="E91" s="48"/>
      <c r="F91" s="48"/>
      <c r="G91" s="48"/>
      <c r="H91" s="48"/>
      <c r="I91" s="48"/>
      <c r="J91" s="64">
        <f>IF(Source!F119=0, "", Source!F119)</f>
        <v>106901.25</v>
      </c>
      <c r="K91" s="64"/>
    </row>
    <row r="92" spans="1:38" ht="13.8" x14ac:dyDescent="0.25">
      <c r="C92" s="48" t="str">
        <f>Source!H123</f>
        <v>Трудозатраты строителей</v>
      </c>
      <c r="D92" s="48"/>
      <c r="E92" s="48"/>
      <c r="F92" s="48"/>
      <c r="G92" s="48"/>
      <c r="H92" s="48"/>
      <c r="I92" s="48"/>
      <c r="J92" s="64">
        <f>IF(Source!F123=0, "", Source!F123)</f>
        <v>61.36</v>
      </c>
      <c r="K92" s="64"/>
    </row>
    <row r="93" spans="1:38" ht="13.8" x14ac:dyDescent="0.25">
      <c r="C93" s="48" t="str">
        <f>Source!H127</f>
        <v>Накладные расходы</v>
      </c>
      <c r="D93" s="48"/>
      <c r="E93" s="48"/>
      <c r="F93" s="48"/>
      <c r="G93" s="48"/>
      <c r="H93" s="48"/>
      <c r="I93" s="48"/>
      <c r="J93" s="64">
        <f>IF(Source!F127=0, "", Source!F127)</f>
        <v>17514.77</v>
      </c>
      <c r="K93" s="64"/>
    </row>
    <row r="94" spans="1:38" ht="13.8" x14ac:dyDescent="0.25">
      <c r="C94" s="48" t="str">
        <f>Source!H128</f>
        <v>Сметная прибыль</v>
      </c>
      <c r="D94" s="48"/>
      <c r="E94" s="48"/>
      <c r="F94" s="48"/>
      <c r="G94" s="48"/>
      <c r="H94" s="48"/>
      <c r="I94" s="48"/>
      <c r="J94" s="64">
        <f>IF(Source!F128=0, "", Source!F128)</f>
        <v>8368.17</v>
      </c>
      <c r="K94" s="64"/>
    </row>
    <row r="96" spans="1:38" ht="13.8" x14ac:dyDescent="0.25">
      <c r="A96" s="49" t="str">
        <f>CONCATENATE("Итого по смете: ",IF(Source!G131&lt;&gt;"Новый объект", Source!G131, ""))</f>
        <v xml:space="preserve">Итого по смете: </v>
      </c>
      <c r="B96" s="49"/>
      <c r="C96" s="49"/>
      <c r="D96" s="49"/>
      <c r="E96" s="49"/>
      <c r="F96" s="49"/>
      <c r="G96" s="49"/>
      <c r="H96" s="62">
        <f>SUM(O1:O95)</f>
        <v>587722.56999999995</v>
      </c>
      <c r="I96" s="63"/>
      <c r="J96" s="62">
        <f>SUM(P1:P95)</f>
        <v>2875360.0700000003</v>
      </c>
      <c r="K96" s="63"/>
      <c r="AL96" s="40" t="str">
        <f>CONCATENATE("Итого по смете: ",IF(Source!G131&lt;&gt;"Новый объект", Source!G131, ""))</f>
        <v xml:space="preserve">Итого по смете: </v>
      </c>
    </row>
    <row r="97" spans="1:11" hidden="1" x14ac:dyDescent="0.25">
      <c r="A97" t="s">
        <v>151</v>
      </c>
      <c r="I97">
        <f>SUM(AC1:AC96)</f>
        <v>0</v>
      </c>
      <c r="J97">
        <f>SUM(AD1:AD96)</f>
        <v>0</v>
      </c>
    </row>
    <row r="98" spans="1:11" hidden="1" x14ac:dyDescent="0.25">
      <c r="A98" t="s">
        <v>152</v>
      </c>
      <c r="I98">
        <f>SUM(AE1:AE97)</f>
        <v>0</v>
      </c>
      <c r="J98">
        <f>SUM(AF1:AF97)</f>
        <v>0</v>
      </c>
    </row>
    <row r="99" spans="1:11" ht="13.8" x14ac:dyDescent="0.25">
      <c r="A99" s="43" t="s">
        <v>166</v>
      </c>
      <c r="B99" s="43"/>
      <c r="C99" s="42"/>
      <c r="D99" s="42"/>
      <c r="E99" s="42"/>
      <c r="F99" s="42"/>
      <c r="G99" s="42"/>
      <c r="K99" s="44">
        <f>J91*1.5%</f>
        <v>1603.51875</v>
      </c>
    </row>
    <row r="100" spans="1:11" ht="13.8" x14ac:dyDescent="0.25">
      <c r="A100" s="49" t="s">
        <v>163</v>
      </c>
      <c r="B100" s="49"/>
      <c r="C100" s="49"/>
      <c r="D100" s="49"/>
      <c r="E100" s="49"/>
      <c r="F100" s="49"/>
      <c r="G100" s="49"/>
      <c r="K100" s="45">
        <f>J96+K99</f>
        <v>2876963.5887500001</v>
      </c>
    </row>
    <row r="101" spans="1:11" ht="13.8" x14ac:dyDescent="0.25">
      <c r="A101" s="48" t="s">
        <v>164</v>
      </c>
      <c r="B101" s="48"/>
      <c r="C101" s="48"/>
      <c r="D101" s="48"/>
      <c r="E101" s="48"/>
      <c r="F101" s="48"/>
      <c r="G101" s="48"/>
      <c r="K101" s="44">
        <f>K100*0.2</f>
        <v>575392.71775000007</v>
      </c>
    </row>
    <row r="102" spans="1:11" ht="13.8" x14ac:dyDescent="0.25">
      <c r="A102" s="49" t="s">
        <v>165</v>
      </c>
      <c r="B102" s="49"/>
      <c r="C102" s="49"/>
      <c r="D102" s="49"/>
      <c r="E102" s="49"/>
      <c r="F102" s="49"/>
      <c r="G102" s="49"/>
      <c r="K102" s="45">
        <f>K100+K101</f>
        <v>3452356.3064999999</v>
      </c>
    </row>
    <row r="103" spans="1:11" s="42" customFormat="1" ht="13.8" x14ac:dyDescent="0.25">
      <c r="A103" s="46"/>
      <c r="B103" s="46"/>
      <c r="C103" s="46"/>
      <c r="D103" s="46"/>
      <c r="E103" s="46"/>
      <c r="F103" s="46"/>
      <c r="G103" s="46"/>
    </row>
    <row r="104" spans="1:11" s="42" customFormat="1" ht="13.8" x14ac:dyDescent="0.25">
      <c r="A104" s="46"/>
      <c r="B104" s="46"/>
      <c r="C104" s="46"/>
      <c r="D104" s="46"/>
      <c r="E104" s="46"/>
      <c r="F104" s="46"/>
      <c r="G104" s="46"/>
    </row>
    <row r="105" spans="1:11" s="42" customFormat="1" ht="13.8" x14ac:dyDescent="0.25">
      <c r="A105" s="46"/>
      <c r="B105" s="46"/>
      <c r="C105" s="46"/>
      <c r="D105" s="46"/>
      <c r="E105" s="46"/>
      <c r="F105" s="46"/>
      <c r="G105" s="46"/>
    </row>
    <row r="106" spans="1:11" ht="13.8" x14ac:dyDescent="0.25">
      <c r="A106" s="65" t="s">
        <v>156</v>
      </c>
      <c r="B106" s="65"/>
      <c r="C106" s="41" t="str">
        <f>IF(Source!AC12&lt;&gt;"", Source!AC12," ")</f>
        <v xml:space="preserve"> </v>
      </c>
      <c r="D106" s="41"/>
      <c r="E106" s="41"/>
      <c r="F106" s="41"/>
      <c r="G106" s="41"/>
      <c r="H106" s="10"/>
      <c r="I106" s="10"/>
      <c r="J106" s="10"/>
      <c r="K106" s="10"/>
    </row>
    <row r="107" spans="1:11" ht="13.8" x14ac:dyDescent="0.25">
      <c r="A107" s="10"/>
      <c r="B107" s="10"/>
      <c r="C107" s="51" t="s">
        <v>157</v>
      </c>
      <c r="D107" s="51"/>
      <c r="E107" s="51"/>
      <c r="F107" s="51"/>
      <c r="G107" s="51"/>
      <c r="H107" s="10"/>
      <c r="I107" s="10"/>
      <c r="J107" s="10"/>
      <c r="K107" s="10"/>
    </row>
    <row r="108" spans="1:11" ht="13.8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</row>
    <row r="109" spans="1:11" ht="13.8" x14ac:dyDescent="0.25">
      <c r="A109" s="65" t="s">
        <v>158</v>
      </c>
      <c r="B109" s="65"/>
      <c r="C109" s="41" t="str">
        <f>IF(Source!AE12&lt;&gt;"", Source!AE12," ")</f>
        <v xml:space="preserve"> </v>
      </c>
      <c r="D109" s="41"/>
      <c r="E109" s="41"/>
      <c r="F109" s="41"/>
      <c r="G109" s="41"/>
      <c r="H109" s="10"/>
      <c r="I109" s="10"/>
      <c r="J109" s="10"/>
      <c r="K109" s="10"/>
    </row>
    <row r="110" spans="1:11" ht="13.8" x14ac:dyDescent="0.25">
      <c r="A110" s="10"/>
      <c r="B110" s="10"/>
      <c r="C110" s="51" t="s">
        <v>157</v>
      </c>
      <c r="D110" s="51"/>
      <c r="E110" s="51"/>
      <c r="F110" s="51"/>
      <c r="G110" s="51"/>
      <c r="H110" s="10"/>
      <c r="I110" s="10"/>
      <c r="J110" s="10"/>
      <c r="K110" s="10"/>
    </row>
  </sheetData>
  <mergeCells count="66">
    <mergeCell ref="A109:B109"/>
    <mergeCell ref="C110:G110"/>
    <mergeCell ref="C94:I94"/>
    <mergeCell ref="J96:K96"/>
    <mergeCell ref="H96:I96"/>
    <mergeCell ref="A96:G96"/>
    <mergeCell ref="A106:B106"/>
    <mergeCell ref="C107:G107"/>
    <mergeCell ref="C92:I92"/>
    <mergeCell ref="J92:K92"/>
    <mergeCell ref="C93:I93"/>
    <mergeCell ref="J93:K93"/>
    <mergeCell ref="J94:K94"/>
    <mergeCell ref="C89:I89"/>
    <mergeCell ref="J89:K89"/>
    <mergeCell ref="C90:I90"/>
    <mergeCell ref="J90:K90"/>
    <mergeCell ref="C91:I91"/>
    <mergeCell ref="J91:K91"/>
    <mergeCell ref="C86:I86"/>
    <mergeCell ref="J86:K86"/>
    <mergeCell ref="C87:I87"/>
    <mergeCell ref="J87:K87"/>
    <mergeCell ref="C88:I88"/>
    <mergeCell ref="J88:K88"/>
    <mergeCell ref="J83:K83"/>
    <mergeCell ref="H83:I83"/>
    <mergeCell ref="A83:G83"/>
    <mergeCell ref="A64:G64"/>
    <mergeCell ref="A68:K68"/>
    <mergeCell ref="J70:K70"/>
    <mergeCell ref="H70:I70"/>
    <mergeCell ref="J73:K73"/>
    <mergeCell ref="H73:I73"/>
    <mergeCell ref="J76:K76"/>
    <mergeCell ref="H76:I76"/>
    <mergeCell ref="J79:K79"/>
    <mergeCell ref="H79:I79"/>
    <mergeCell ref="A79:G79"/>
    <mergeCell ref="J50:K50"/>
    <mergeCell ref="H50:I50"/>
    <mergeCell ref="J61:K61"/>
    <mergeCell ref="H61:I61"/>
    <mergeCell ref="J64:K64"/>
    <mergeCell ref="H64:I64"/>
    <mergeCell ref="F19:H19"/>
    <mergeCell ref="F20:H20"/>
    <mergeCell ref="F22:H22"/>
    <mergeCell ref="A25:K25"/>
    <mergeCell ref="A29:K29"/>
    <mergeCell ref="A11:K11"/>
    <mergeCell ref="A101:G101"/>
    <mergeCell ref="A102:G102"/>
    <mergeCell ref="A100:G100"/>
    <mergeCell ref="A3:K3"/>
    <mergeCell ref="A4:K4"/>
    <mergeCell ref="A6:K6"/>
    <mergeCell ref="A8:K8"/>
    <mergeCell ref="A9:K9"/>
    <mergeCell ref="J40:K40"/>
    <mergeCell ref="H40:I40"/>
    <mergeCell ref="F14:H14"/>
    <mergeCell ref="F15:H15"/>
    <mergeCell ref="F16:H16"/>
    <mergeCell ref="F17:H17"/>
    <mergeCell ref="F18:H18"/>
  </mergeCells>
  <pageMargins left="0.4" right="0.2" top="0.4" bottom="0.4" header="0.2" footer="0.2"/>
  <pageSetup paperSize="9" scale="64" fitToHeight="0" orientation="portrait" r:id="rId1"/>
  <headerFooter>
    <oddHeader>&amp;L&amp;8АО "ИнжЭнергоПроект"  Доп. раб. место  FStS-0037067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169"/>
  <sheetViews>
    <sheetView workbookViewId="0">
      <selection activeCell="J12" sqref="J12"/>
    </sheetView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37067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 x14ac:dyDescent="0.25">
      <c r="A12" s="1">
        <v>1</v>
      </c>
      <c r="B12" s="1">
        <v>164</v>
      </c>
      <c r="C12" s="1">
        <v>0</v>
      </c>
      <c r="D12" s="1">
        <f>ROW(A131)</f>
        <v>131</v>
      </c>
      <c r="E12" s="1">
        <v>0</v>
      </c>
      <c r="F12" s="1" t="s">
        <v>4</v>
      </c>
      <c r="G12" s="1"/>
      <c r="H12" s="1" t="s">
        <v>4</v>
      </c>
      <c r="I12" s="1">
        <v>0</v>
      </c>
      <c r="J12" s="1"/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4</v>
      </c>
      <c r="V12" s="1">
        <v>0</v>
      </c>
      <c r="W12" s="1" t="s">
        <v>4</v>
      </c>
      <c r="X12" s="1" t="s">
        <v>4</v>
      </c>
      <c r="Y12" s="1" t="s">
        <v>4</v>
      </c>
      <c r="Z12" s="1" t="s">
        <v>4</v>
      </c>
      <c r="AA12" s="1" t="s">
        <v>4</v>
      </c>
      <c r="AB12" s="1" t="s">
        <v>7</v>
      </c>
      <c r="AC12" s="1" t="s">
        <v>4</v>
      </c>
      <c r="AD12" s="1" t="s">
        <v>8</v>
      </c>
      <c r="AE12" s="1" t="s">
        <v>4</v>
      </c>
      <c r="AF12" s="1" t="s">
        <v>4</v>
      </c>
      <c r="AG12" s="1" t="s">
        <v>4</v>
      </c>
      <c r="AH12" s="1" t="s">
        <v>4</v>
      </c>
      <c r="AI12" s="1" t="s">
        <v>4</v>
      </c>
      <c r="AJ12" s="1" t="s">
        <v>4</v>
      </c>
      <c r="AK12" s="1"/>
      <c r="AL12" s="1" t="s">
        <v>4</v>
      </c>
      <c r="AM12" s="1" t="s">
        <v>4</v>
      </c>
      <c r="AN12" s="1" t="s">
        <v>4</v>
      </c>
      <c r="AO12" s="1"/>
      <c r="AP12" s="1" t="s">
        <v>4</v>
      </c>
      <c r="AQ12" s="1" t="s">
        <v>4</v>
      </c>
      <c r="AR12" s="1" t="s">
        <v>4</v>
      </c>
      <c r="AS12" s="1"/>
      <c r="AT12" s="1"/>
      <c r="AU12" s="1"/>
      <c r="AV12" s="1"/>
      <c r="AW12" s="1"/>
      <c r="AX12" s="1" t="s">
        <v>4</v>
      </c>
      <c r="AY12" s="1" t="s">
        <v>4</v>
      </c>
      <c r="AZ12" s="1" t="s">
        <v>4</v>
      </c>
      <c r="BA12" s="1"/>
      <c r="BB12" s="1"/>
      <c r="BC12" s="1"/>
      <c r="BD12" s="1"/>
      <c r="BE12" s="1"/>
      <c r="BF12" s="1"/>
      <c r="BG12" s="1"/>
      <c r="BH12" s="1" t="s">
        <v>9</v>
      </c>
      <c r="BI12" s="1" t="s">
        <v>10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4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10</v>
      </c>
      <c r="CI12" s="1" t="s">
        <v>4</v>
      </c>
      <c r="CJ12" s="1" t="s">
        <v>4</v>
      </c>
      <c r="CK12" s="1">
        <v>60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 x14ac:dyDescent="0.25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 x14ac:dyDescent="0.25">
      <c r="A18" s="2">
        <v>52</v>
      </c>
      <c r="B18" s="2">
        <f t="shared" ref="B18:G18" si="0">B131</f>
        <v>164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/>
      </c>
      <c r="G18" s="2" t="str">
        <f t="shared" si="0"/>
        <v/>
      </c>
      <c r="H18" s="2"/>
      <c r="I18" s="2"/>
      <c r="J18" s="2"/>
      <c r="K18" s="2"/>
      <c r="L18" s="2"/>
      <c r="M18" s="2"/>
      <c r="N18" s="2"/>
      <c r="O18" s="2">
        <f t="shared" ref="O18:AT18" si="1">O131</f>
        <v>2823743.39</v>
      </c>
      <c r="P18" s="2">
        <f t="shared" si="1"/>
        <v>2768656.64</v>
      </c>
      <c r="Q18" s="2">
        <f t="shared" si="1"/>
        <v>35625.89</v>
      </c>
      <c r="R18" s="2">
        <f t="shared" si="1"/>
        <v>16390.91</v>
      </c>
      <c r="S18" s="2">
        <f t="shared" si="1"/>
        <v>19460.86</v>
      </c>
      <c r="T18" s="2">
        <f t="shared" si="1"/>
        <v>0</v>
      </c>
      <c r="U18" s="2">
        <f t="shared" si="1"/>
        <v>61.363204199999998</v>
      </c>
      <c r="V18" s="2">
        <f t="shared" si="1"/>
        <v>0</v>
      </c>
      <c r="W18" s="2">
        <f t="shared" si="1"/>
        <v>0</v>
      </c>
      <c r="X18" s="2">
        <f t="shared" si="1"/>
        <v>17514.77</v>
      </c>
      <c r="Y18" s="2">
        <f t="shared" si="1"/>
        <v>8368.17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2768458.82</v>
      </c>
      <c r="AQ18" s="2">
        <f t="shared" si="1"/>
        <v>0</v>
      </c>
      <c r="AR18" s="2">
        <f t="shared" si="1"/>
        <v>2875360.07</v>
      </c>
      <c r="AS18" s="2">
        <f t="shared" si="1"/>
        <v>0</v>
      </c>
      <c r="AT18" s="2">
        <f t="shared" si="1"/>
        <v>106901.25</v>
      </c>
      <c r="AU18" s="2">
        <f t="shared" ref="AU18:BZ18" si="2">AU131</f>
        <v>0</v>
      </c>
      <c r="AV18" s="2">
        <f t="shared" si="2"/>
        <v>2768656.64</v>
      </c>
      <c r="AW18" s="2">
        <f t="shared" si="2"/>
        <v>197.82</v>
      </c>
      <c r="AX18" s="2">
        <f t="shared" si="2"/>
        <v>0</v>
      </c>
      <c r="AY18" s="2">
        <f t="shared" si="2"/>
        <v>197.82</v>
      </c>
      <c r="AZ18" s="2">
        <f t="shared" si="2"/>
        <v>2768458.82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CA131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DG131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EM131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FS131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 x14ac:dyDescent="0.25">
      <c r="A20" s="1">
        <v>3</v>
      </c>
      <c r="B20" s="1">
        <v>1</v>
      </c>
      <c r="C20" s="1"/>
      <c r="D20" s="1">
        <f>ROW(A101)</f>
        <v>101</v>
      </c>
      <c r="E20" s="1"/>
      <c r="F20" s="1"/>
      <c r="G20" s="1"/>
      <c r="H20" s="1" t="s">
        <v>4</v>
      </c>
      <c r="I20" s="1">
        <v>0</v>
      </c>
      <c r="J20" s="1" t="s">
        <v>6</v>
      </c>
      <c r="K20" s="1">
        <v>-1</v>
      </c>
      <c r="L20" s="1" t="s">
        <v>4</v>
      </c>
      <c r="M20" s="1"/>
      <c r="N20" s="1"/>
      <c r="O20" s="1"/>
      <c r="P20" s="1"/>
      <c r="Q20" s="1"/>
      <c r="R20" s="1"/>
      <c r="S20" s="1"/>
      <c r="T20" s="1"/>
      <c r="U20" s="1" t="s">
        <v>4</v>
      </c>
      <c r="V20" s="1">
        <v>0</v>
      </c>
      <c r="W20" s="1"/>
      <c r="X20" s="1"/>
      <c r="Y20" s="1"/>
      <c r="Z20" s="1"/>
      <c r="AA20" s="1"/>
      <c r="AB20" s="1" t="s">
        <v>7</v>
      </c>
      <c r="AC20" s="1" t="s">
        <v>4</v>
      </c>
      <c r="AD20" s="1" t="s">
        <v>8</v>
      </c>
      <c r="AE20" s="1" t="s">
        <v>4</v>
      </c>
      <c r="AF20" s="1" t="s">
        <v>4</v>
      </c>
      <c r="AG20" s="1" t="s">
        <v>4</v>
      </c>
      <c r="AH20" s="1"/>
      <c r="AI20" s="1"/>
      <c r="AJ20" s="1"/>
      <c r="AK20" s="1"/>
      <c r="AL20" s="1"/>
      <c r="AM20" s="1"/>
      <c r="AN20" s="1"/>
      <c r="AO20" s="1"/>
      <c r="AP20" s="1" t="s">
        <v>4</v>
      </c>
      <c r="AQ20" s="1" t="s">
        <v>4</v>
      </c>
      <c r="AR20" s="1" t="s">
        <v>4</v>
      </c>
      <c r="AS20" s="1"/>
      <c r="AT20" s="1"/>
      <c r="AU20" s="1"/>
      <c r="AV20" s="1"/>
      <c r="AW20" s="1"/>
      <c r="AX20" s="1"/>
      <c r="AY20" s="1"/>
      <c r="AZ20" s="1" t="s">
        <v>4</v>
      </c>
      <c r="BA20" s="1"/>
      <c r="BB20" s="1" t="s">
        <v>4</v>
      </c>
      <c r="BC20" s="1" t="s">
        <v>4</v>
      </c>
      <c r="BD20" s="1" t="s">
        <v>4</v>
      </c>
      <c r="BE20" s="1" t="s">
        <v>4</v>
      </c>
      <c r="BF20" s="1" t="s">
        <v>4</v>
      </c>
      <c r="BG20" s="1" t="s">
        <v>4</v>
      </c>
      <c r="BH20" s="1" t="s">
        <v>4</v>
      </c>
      <c r="BI20" s="1" t="s">
        <v>4</v>
      </c>
      <c r="BJ20" s="1" t="s">
        <v>4</v>
      </c>
      <c r="BK20" s="1" t="s">
        <v>4</v>
      </c>
      <c r="BL20" s="1" t="s">
        <v>4</v>
      </c>
      <c r="BM20" s="1" t="s">
        <v>4</v>
      </c>
      <c r="BN20" s="1" t="s">
        <v>4</v>
      </c>
      <c r="BO20" s="1" t="s">
        <v>4</v>
      </c>
      <c r="BP20" s="1" t="s">
        <v>4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4</v>
      </c>
      <c r="CJ20" s="1" t="s">
        <v>4</v>
      </c>
      <c r="CK20" t="s">
        <v>4</v>
      </c>
      <c r="CL20" t="s">
        <v>4</v>
      </c>
      <c r="CM20" t="s">
        <v>4</v>
      </c>
      <c r="CN20" t="s">
        <v>4</v>
      </c>
      <c r="CO20" t="s">
        <v>4</v>
      </c>
      <c r="CP20" t="s">
        <v>4</v>
      </c>
    </row>
    <row r="22" spans="1:245" x14ac:dyDescent="0.25">
      <c r="A22" s="2">
        <v>52</v>
      </c>
      <c r="B22" s="2">
        <f t="shared" ref="B22:G22" si="7">B101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/>
      </c>
      <c r="G22" s="2" t="str">
        <f t="shared" si="7"/>
        <v/>
      </c>
      <c r="H22" s="2"/>
      <c r="I22" s="2"/>
      <c r="J22" s="2"/>
      <c r="K22" s="2"/>
      <c r="L22" s="2"/>
      <c r="M22" s="2"/>
      <c r="N22" s="2"/>
      <c r="O22" s="2">
        <f t="shared" ref="O22:AT22" si="8">O101</f>
        <v>2823743.39</v>
      </c>
      <c r="P22" s="2">
        <f t="shared" si="8"/>
        <v>2768656.64</v>
      </c>
      <c r="Q22" s="2">
        <f t="shared" si="8"/>
        <v>35625.89</v>
      </c>
      <c r="R22" s="2">
        <f t="shared" si="8"/>
        <v>16390.91</v>
      </c>
      <c r="S22" s="2">
        <f t="shared" si="8"/>
        <v>19460.86</v>
      </c>
      <c r="T22" s="2">
        <f t="shared" si="8"/>
        <v>0</v>
      </c>
      <c r="U22" s="2">
        <f t="shared" si="8"/>
        <v>61.363204199999998</v>
      </c>
      <c r="V22" s="2">
        <f t="shared" si="8"/>
        <v>0</v>
      </c>
      <c r="W22" s="2">
        <f t="shared" si="8"/>
        <v>0</v>
      </c>
      <c r="X22" s="2">
        <f t="shared" si="8"/>
        <v>17514.77</v>
      </c>
      <c r="Y22" s="2">
        <f t="shared" si="8"/>
        <v>8368.17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2768458.82</v>
      </c>
      <c r="AQ22" s="2">
        <f t="shared" si="8"/>
        <v>0</v>
      </c>
      <c r="AR22" s="2">
        <f t="shared" si="8"/>
        <v>2875360.07</v>
      </c>
      <c r="AS22" s="2">
        <f t="shared" si="8"/>
        <v>0</v>
      </c>
      <c r="AT22" s="2">
        <f t="shared" si="8"/>
        <v>106901.25</v>
      </c>
      <c r="AU22" s="2">
        <f t="shared" ref="AU22:BZ22" si="9">AU101</f>
        <v>0</v>
      </c>
      <c r="AV22" s="2">
        <f t="shared" si="9"/>
        <v>2768656.64</v>
      </c>
      <c r="AW22" s="2">
        <f t="shared" si="9"/>
        <v>197.82</v>
      </c>
      <c r="AX22" s="2">
        <f t="shared" si="9"/>
        <v>0</v>
      </c>
      <c r="AY22" s="2">
        <f t="shared" si="9"/>
        <v>197.82</v>
      </c>
      <c r="AZ22" s="2">
        <f t="shared" si="9"/>
        <v>2768458.82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CA101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DG101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EM101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FS101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 x14ac:dyDescent="0.25">
      <c r="A24" s="1">
        <v>4</v>
      </c>
      <c r="B24" s="1">
        <v>1</v>
      </c>
      <c r="C24" s="1"/>
      <c r="D24" s="1">
        <f>ROW(A33)</f>
        <v>33</v>
      </c>
      <c r="E24" s="1"/>
      <c r="F24" s="1" t="s">
        <v>4</v>
      </c>
      <c r="G24" s="1" t="s">
        <v>16</v>
      </c>
      <c r="H24" s="1" t="s">
        <v>4</v>
      </c>
      <c r="I24" s="1">
        <v>0</v>
      </c>
      <c r="J24" s="1"/>
      <c r="K24" s="1">
        <v>-1</v>
      </c>
      <c r="L24" s="1"/>
      <c r="M24" s="1"/>
      <c r="N24" s="1"/>
      <c r="O24" s="1"/>
      <c r="P24" s="1"/>
      <c r="Q24" s="1"/>
      <c r="R24" s="1"/>
      <c r="S24" s="1"/>
      <c r="T24" s="1"/>
      <c r="U24" s="1" t="s">
        <v>4</v>
      </c>
      <c r="V24" s="1">
        <v>0</v>
      </c>
      <c r="W24" s="1"/>
      <c r="X24" s="1"/>
      <c r="Y24" s="1"/>
      <c r="Z24" s="1"/>
      <c r="AA24" s="1"/>
      <c r="AB24" s="1" t="s">
        <v>4</v>
      </c>
      <c r="AC24" s="1" t="s">
        <v>4</v>
      </c>
      <c r="AD24" s="1" t="s">
        <v>4</v>
      </c>
      <c r="AE24" s="1" t="s">
        <v>4</v>
      </c>
      <c r="AF24" s="1" t="s">
        <v>4</v>
      </c>
      <c r="AG24" s="1" t="s">
        <v>4</v>
      </c>
      <c r="AH24" s="1"/>
      <c r="AI24" s="1"/>
      <c r="AJ24" s="1"/>
      <c r="AK24" s="1"/>
      <c r="AL24" s="1"/>
      <c r="AM24" s="1"/>
      <c r="AN24" s="1"/>
      <c r="AO24" s="1"/>
      <c r="AP24" s="1" t="s">
        <v>4</v>
      </c>
      <c r="AQ24" s="1" t="s">
        <v>4</v>
      </c>
      <c r="AR24" s="1" t="s">
        <v>4</v>
      </c>
      <c r="AS24" s="1"/>
      <c r="AT24" s="1"/>
      <c r="AU24" s="1"/>
      <c r="AV24" s="1"/>
      <c r="AW24" s="1"/>
      <c r="AX24" s="1"/>
      <c r="AY24" s="1"/>
      <c r="AZ24" s="1" t="s">
        <v>4</v>
      </c>
      <c r="BA24" s="1"/>
      <c r="BB24" s="1" t="s">
        <v>4</v>
      </c>
      <c r="BC24" s="1" t="s">
        <v>4</v>
      </c>
      <c r="BD24" s="1" t="s">
        <v>4</v>
      </c>
      <c r="BE24" s="1" t="s">
        <v>4</v>
      </c>
      <c r="BF24" s="1" t="s">
        <v>4</v>
      </c>
      <c r="BG24" s="1" t="s">
        <v>4</v>
      </c>
      <c r="BH24" s="1" t="s">
        <v>4</v>
      </c>
      <c r="BI24" s="1" t="s">
        <v>4</v>
      </c>
      <c r="BJ24" s="1" t="s">
        <v>4</v>
      </c>
      <c r="BK24" s="1" t="s">
        <v>4</v>
      </c>
      <c r="BL24" s="1" t="s">
        <v>4</v>
      </c>
      <c r="BM24" s="1" t="s">
        <v>4</v>
      </c>
      <c r="BN24" s="1" t="s">
        <v>4</v>
      </c>
      <c r="BO24" s="1" t="s">
        <v>4</v>
      </c>
      <c r="BP24" s="1" t="s">
        <v>4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 x14ac:dyDescent="0.25">
      <c r="A26" s="2">
        <v>52</v>
      </c>
      <c r="B26" s="2">
        <f t="shared" ref="B26:G26" si="14">B33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/>
      </c>
      <c r="G26" s="2" t="str">
        <f t="shared" si="14"/>
        <v>Монтажные работы и материалы</v>
      </c>
      <c r="H26" s="2"/>
      <c r="I26" s="2"/>
      <c r="J26" s="2"/>
      <c r="K26" s="2"/>
      <c r="L26" s="2"/>
      <c r="M26" s="2"/>
      <c r="N26" s="2"/>
      <c r="O26" s="2">
        <f t="shared" ref="O26:AT26" si="15">O33</f>
        <v>55284.57</v>
      </c>
      <c r="P26" s="2">
        <f t="shared" si="15"/>
        <v>197.82</v>
      </c>
      <c r="Q26" s="2">
        <f t="shared" si="15"/>
        <v>35625.89</v>
      </c>
      <c r="R26" s="2">
        <f t="shared" si="15"/>
        <v>16390.91</v>
      </c>
      <c r="S26" s="2">
        <f t="shared" si="15"/>
        <v>19460.86</v>
      </c>
      <c r="T26" s="2">
        <f t="shared" si="15"/>
        <v>0</v>
      </c>
      <c r="U26" s="2">
        <f t="shared" si="15"/>
        <v>61.363204199999998</v>
      </c>
      <c r="V26" s="2">
        <f t="shared" si="15"/>
        <v>0</v>
      </c>
      <c r="W26" s="2">
        <f t="shared" si="15"/>
        <v>0</v>
      </c>
      <c r="X26" s="2">
        <f t="shared" si="15"/>
        <v>17514.77</v>
      </c>
      <c r="Y26" s="2">
        <f t="shared" si="15"/>
        <v>8368.17</v>
      </c>
      <c r="Z26" s="2">
        <f t="shared" si="15"/>
        <v>0</v>
      </c>
      <c r="AA26" s="2">
        <f t="shared" si="15"/>
        <v>0</v>
      </c>
      <c r="AB26" s="2">
        <f t="shared" si="15"/>
        <v>55284.57</v>
      </c>
      <c r="AC26" s="2">
        <f t="shared" si="15"/>
        <v>197.82</v>
      </c>
      <c r="AD26" s="2">
        <f t="shared" si="15"/>
        <v>35625.89</v>
      </c>
      <c r="AE26" s="2">
        <f t="shared" si="15"/>
        <v>16390.91</v>
      </c>
      <c r="AF26" s="2">
        <f t="shared" si="15"/>
        <v>19460.86</v>
      </c>
      <c r="AG26" s="2">
        <f t="shared" si="15"/>
        <v>0</v>
      </c>
      <c r="AH26" s="2">
        <f t="shared" si="15"/>
        <v>61.363204199999998</v>
      </c>
      <c r="AI26" s="2">
        <f t="shared" si="15"/>
        <v>0</v>
      </c>
      <c r="AJ26" s="2">
        <f t="shared" si="15"/>
        <v>0</v>
      </c>
      <c r="AK26" s="2">
        <f t="shared" si="15"/>
        <v>17514.77</v>
      </c>
      <c r="AL26" s="2">
        <f t="shared" si="15"/>
        <v>8368.17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106901.25</v>
      </c>
      <c r="AS26" s="2">
        <f t="shared" si="15"/>
        <v>0</v>
      </c>
      <c r="AT26" s="2">
        <f t="shared" si="15"/>
        <v>106901.25</v>
      </c>
      <c r="AU26" s="2">
        <f t="shared" ref="AU26:BZ26" si="16">AU33</f>
        <v>0</v>
      </c>
      <c r="AV26" s="2">
        <f t="shared" si="16"/>
        <v>197.82</v>
      </c>
      <c r="AW26" s="2">
        <f t="shared" si="16"/>
        <v>197.82</v>
      </c>
      <c r="AX26" s="2">
        <f t="shared" si="16"/>
        <v>0</v>
      </c>
      <c r="AY26" s="2">
        <f t="shared" si="16"/>
        <v>197.82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CA33</f>
        <v>106901.25</v>
      </c>
      <c r="CB26" s="2">
        <f t="shared" si="17"/>
        <v>0</v>
      </c>
      <c r="CC26" s="2">
        <f t="shared" si="17"/>
        <v>106901.25</v>
      </c>
      <c r="CD26" s="2">
        <f t="shared" si="17"/>
        <v>0</v>
      </c>
      <c r="CE26" s="2">
        <f t="shared" si="17"/>
        <v>197.82</v>
      </c>
      <c r="CF26" s="2">
        <f t="shared" si="17"/>
        <v>197.82</v>
      </c>
      <c r="CG26" s="2">
        <f t="shared" si="17"/>
        <v>0</v>
      </c>
      <c r="CH26" s="2">
        <f t="shared" si="17"/>
        <v>197.82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DG33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EM33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FS33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 x14ac:dyDescent="0.25">
      <c r="A28">
        <v>19</v>
      </c>
      <c r="B28">
        <v>1</v>
      </c>
      <c r="F28" t="s">
        <v>4</v>
      </c>
      <c r="G28" t="s">
        <v>17</v>
      </c>
      <c r="H28" t="s">
        <v>4</v>
      </c>
      <c r="AA28">
        <v>1</v>
      </c>
      <c r="IK28">
        <v>0</v>
      </c>
    </row>
    <row r="29" spans="1:245" x14ac:dyDescent="0.25">
      <c r="A29">
        <v>17</v>
      </c>
      <c r="B29">
        <v>1</v>
      </c>
      <c r="C29">
        <f>ROW(SmtRes!A1)</f>
        <v>1</v>
      </c>
      <c r="D29">
        <f>ROW(EtalonRes!A1)</f>
        <v>1</v>
      </c>
      <c r="E29" t="s">
        <v>18</v>
      </c>
      <c r="F29" t="s">
        <v>19</v>
      </c>
      <c r="G29" t="s">
        <v>20</v>
      </c>
      <c r="H29" t="s">
        <v>21</v>
      </c>
      <c r="I29">
        <v>1</v>
      </c>
      <c r="J29">
        <v>0</v>
      </c>
      <c r="O29">
        <f>ROUND(CP29,2)</f>
        <v>38743.83</v>
      </c>
      <c r="P29">
        <f>ROUND(CQ29*I29,2)</f>
        <v>151.16999999999999</v>
      </c>
      <c r="Q29">
        <f>ROUND(CR29*I29,2)</f>
        <v>25395.67</v>
      </c>
      <c r="R29">
        <f>ROUND(CS29*I29,2)</f>
        <v>11681.08</v>
      </c>
      <c r="S29">
        <f>ROUND(CT29*I29,2)</f>
        <v>13196.99</v>
      </c>
      <c r="T29">
        <f>ROUND(CU29*I29,2)</f>
        <v>0</v>
      </c>
      <c r="U29">
        <f>CV29*I29</f>
        <v>41.611967999999997</v>
      </c>
      <c r="V29">
        <f>CW29*I29</f>
        <v>0</v>
      </c>
      <c r="W29">
        <f>ROUND(CX29*I29,2)</f>
        <v>0</v>
      </c>
      <c r="X29">
        <f t="shared" ref="X29:Y31" si="21">ROUND(CY29,2)</f>
        <v>11877.29</v>
      </c>
      <c r="Y29">
        <f t="shared" si="21"/>
        <v>5674.71</v>
      </c>
      <c r="AA29">
        <v>40519780</v>
      </c>
      <c r="AB29">
        <f>ROUND((AC29+AD29+AF29),6)</f>
        <v>3233.1794</v>
      </c>
      <c r="AC29">
        <f>ROUND((ES29),6)</f>
        <v>24.5</v>
      </c>
      <c r="AD29">
        <f>ROUND((((ET29*1.2)*1.15)),6)</f>
        <v>2707.1046000000001</v>
      </c>
      <c r="AE29">
        <f>ROUND((((EU29*1.2)*1.15)),6)</f>
        <v>443.95979999999997</v>
      </c>
      <c r="AF29">
        <f>ROUND((((EV29*1.2)*1.15)),6)</f>
        <v>501.57479999999998</v>
      </c>
      <c r="AG29">
        <f>ROUND((AP29),6)</f>
        <v>0</v>
      </c>
      <c r="AH29">
        <f>(((EW29*1.2)*1.15))</f>
        <v>39.744</v>
      </c>
      <c r="AI29">
        <f>(((EX29*1.2)*1.15))</f>
        <v>0</v>
      </c>
      <c r="AJ29">
        <f>(AS29)</f>
        <v>0</v>
      </c>
      <c r="AK29">
        <v>2349.63</v>
      </c>
      <c r="AL29">
        <v>24.5</v>
      </c>
      <c r="AM29">
        <v>1961.67</v>
      </c>
      <c r="AN29">
        <v>321.70999999999998</v>
      </c>
      <c r="AO29">
        <v>363.46</v>
      </c>
      <c r="AP29">
        <v>0</v>
      </c>
      <c r="AQ29">
        <v>28.8</v>
      </c>
      <c r="AR29">
        <v>0</v>
      </c>
      <c r="AS29">
        <v>0</v>
      </c>
      <c r="AT29">
        <v>90</v>
      </c>
      <c r="AU29">
        <v>43</v>
      </c>
      <c r="AV29">
        <v>1.0469999999999999</v>
      </c>
      <c r="AW29">
        <v>1</v>
      </c>
      <c r="AZ29">
        <v>1</v>
      </c>
      <c r="BA29">
        <v>25.13</v>
      </c>
      <c r="BB29">
        <v>8.9600000000000009</v>
      </c>
      <c r="BC29">
        <v>6.17</v>
      </c>
      <c r="BD29" t="s">
        <v>4</v>
      </c>
      <c r="BE29" t="s">
        <v>4</v>
      </c>
      <c r="BF29" t="s">
        <v>4</v>
      </c>
      <c r="BG29" t="s">
        <v>4</v>
      </c>
      <c r="BH29">
        <v>0</v>
      </c>
      <c r="BI29">
        <v>2</v>
      </c>
      <c r="BJ29" t="s">
        <v>22</v>
      </c>
      <c r="BM29">
        <v>317</v>
      </c>
      <c r="BN29">
        <v>0</v>
      </c>
      <c r="BO29" t="s">
        <v>19</v>
      </c>
      <c r="BP29">
        <v>1</v>
      </c>
      <c r="BQ29">
        <v>40</v>
      </c>
      <c r="BR29">
        <v>0</v>
      </c>
      <c r="BS29">
        <v>25.13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4</v>
      </c>
      <c r="BZ29">
        <v>90</v>
      </c>
      <c r="CA29">
        <v>43</v>
      </c>
      <c r="CE29">
        <v>0</v>
      </c>
      <c r="CF29">
        <v>0</v>
      </c>
      <c r="CG29">
        <v>0</v>
      </c>
      <c r="CM29">
        <v>0</v>
      </c>
      <c r="CN29" t="s">
        <v>113</v>
      </c>
      <c r="CO29">
        <v>0</v>
      </c>
      <c r="CP29">
        <f>(P29+Q29+S29)</f>
        <v>38743.829999999994</v>
      </c>
      <c r="CQ29">
        <f>(AC29*BC29*AW29)</f>
        <v>151.16499999999999</v>
      </c>
      <c r="CR29">
        <f>(AD29*BB29*AV29)</f>
        <v>25395.673105152</v>
      </c>
      <c r="CS29">
        <f>(AE29*BS29*AV29)</f>
        <v>11681.075133377999</v>
      </c>
      <c r="CT29">
        <f>(AF29*BA29*AV29)</f>
        <v>13196.989736027997</v>
      </c>
      <c r="CU29">
        <f>AG29</f>
        <v>0</v>
      </c>
      <c r="CV29">
        <f>(AH29*AV29)</f>
        <v>41.611967999999997</v>
      </c>
      <c r="CW29">
        <f t="shared" ref="CW29:CX31" si="22">AI29</f>
        <v>0</v>
      </c>
      <c r="CX29">
        <f t="shared" si="22"/>
        <v>0</v>
      </c>
      <c r="CY29">
        <f>S29*(BZ29/100)</f>
        <v>11877.290999999999</v>
      </c>
      <c r="CZ29">
        <f>S29*(CA29/100)</f>
        <v>5674.7056999999995</v>
      </c>
      <c r="DC29" t="s">
        <v>4</v>
      </c>
      <c r="DD29" t="s">
        <v>4</v>
      </c>
      <c r="DE29" t="s">
        <v>23</v>
      </c>
      <c r="DF29" t="s">
        <v>23</v>
      </c>
      <c r="DG29" t="s">
        <v>23</v>
      </c>
      <c r="DH29" t="s">
        <v>4</v>
      </c>
      <c r="DI29" t="s">
        <v>23</v>
      </c>
      <c r="DJ29" t="s">
        <v>23</v>
      </c>
      <c r="DK29" t="s">
        <v>4</v>
      </c>
      <c r="DL29" t="s">
        <v>4</v>
      </c>
      <c r="DM29" t="s">
        <v>4</v>
      </c>
      <c r="DN29">
        <v>112</v>
      </c>
      <c r="DO29">
        <v>70</v>
      </c>
      <c r="DP29">
        <v>1.0469999999999999</v>
      </c>
      <c r="DQ29">
        <v>1</v>
      </c>
      <c r="DU29">
        <v>1013</v>
      </c>
      <c r="DV29" t="s">
        <v>21</v>
      </c>
      <c r="DW29" t="s">
        <v>21</v>
      </c>
      <c r="DX29">
        <v>1</v>
      </c>
      <c r="EE29">
        <v>36316608</v>
      </c>
      <c r="EF29">
        <v>40</v>
      </c>
      <c r="EG29" t="s">
        <v>24</v>
      </c>
      <c r="EH29">
        <v>0</v>
      </c>
      <c r="EI29" t="s">
        <v>4</v>
      </c>
      <c r="EJ29">
        <v>2</v>
      </c>
      <c r="EK29">
        <v>317</v>
      </c>
      <c r="EL29" t="s">
        <v>25</v>
      </c>
      <c r="EM29" t="s">
        <v>26</v>
      </c>
      <c r="EO29" t="s">
        <v>27</v>
      </c>
      <c r="EQ29">
        <v>0</v>
      </c>
      <c r="ER29">
        <v>2349.63</v>
      </c>
      <c r="ES29">
        <v>24.5</v>
      </c>
      <c r="ET29">
        <v>1961.67</v>
      </c>
      <c r="EU29">
        <v>321.70999999999998</v>
      </c>
      <c r="EV29">
        <v>363.46</v>
      </c>
      <c r="EW29">
        <v>28.8</v>
      </c>
      <c r="EX29">
        <v>0</v>
      </c>
      <c r="EY29">
        <v>0</v>
      </c>
      <c r="FQ29">
        <v>0</v>
      </c>
      <c r="FR29">
        <f>ROUND(IF(AND(BH29=3,BI29=3),P29,0),2)</f>
        <v>0</v>
      </c>
      <c r="FS29">
        <v>0</v>
      </c>
      <c r="FX29">
        <v>112</v>
      </c>
      <c r="FY29">
        <v>70</v>
      </c>
      <c r="GA29" t="s">
        <v>4</v>
      </c>
      <c r="GD29">
        <v>0</v>
      </c>
      <c r="GF29">
        <v>-196832780</v>
      </c>
      <c r="GG29">
        <v>2</v>
      </c>
      <c r="GH29">
        <v>1</v>
      </c>
      <c r="GI29">
        <v>2</v>
      </c>
      <c r="GJ29">
        <v>0</v>
      </c>
      <c r="GK29">
        <f>ROUND(R29*(R12)/100,2)</f>
        <v>18339.3</v>
      </c>
      <c r="GL29">
        <f>ROUND(IF(AND(BH29=3,BI29=3,FS29&lt;&gt;0),P29,0),2)</f>
        <v>0</v>
      </c>
      <c r="GM29">
        <f>ROUND(O29+X29+Y29+GK29,2)+GX29</f>
        <v>74635.13</v>
      </c>
      <c r="GN29">
        <f>IF(OR(BI29=0,BI29=1),ROUND(O29+X29+Y29+GK29,2),0)</f>
        <v>0</v>
      </c>
      <c r="GO29">
        <f>IF(BI29=2,ROUND(O29+X29+Y29+GK29,2),0)</f>
        <v>74635.13</v>
      </c>
      <c r="GP29">
        <f>IF(BI29=4,ROUND(O29+X29+Y29+GK29,2)+GX29,0)</f>
        <v>0</v>
      </c>
      <c r="GR29">
        <v>0</v>
      </c>
      <c r="GS29">
        <v>3</v>
      </c>
      <c r="GT29">
        <v>0</v>
      </c>
      <c r="GU29" t="s">
        <v>4</v>
      </c>
      <c r="GV29">
        <f>ROUND((GT29),6)</f>
        <v>0</v>
      </c>
      <c r="GW29">
        <v>1</v>
      </c>
      <c r="GX29">
        <f>ROUND(HC29*I29,2)</f>
        <v>0</v>
      </c>
      <c r="HA29">
        <v>0</v>
      </c>
      <c r="HB29">
        <v>0</v>
      </c>
      <c r="HC29">
        <f>GV29*GW29</f>
        <v>0</v>
      </c>
      <c r="IK29">
        <v>0</v>
      </c>
    </row>
    <row r="30" spans="1:245" x14ac:dyDescent="0.25">
      <c r="A30">
        <v>17</v>
      </c>
      <c r="B30">
        <v>1</v>
      </c>
      <c r="C30">
        <f>ROW(SmtRes!A2)</f>
        <v>2</v>
      </c>
      <c r="D30">
        <f>ROW(EtalonRes!A2)</f>
        <v>2</v>
      </c>
      <c r="E30" t="s">
        <v>28</v>
      </c>
      <c r="F30" t="s">
        <v>19</v>
      </c>
      <c r="G30" t="s">
        <v>29</v>
      </c>
      <c r="H30" t="s">
        <v>21</v>
      </c>
      <c r="I30">
        <v>1</v>
      </c>
      <c r="J30">
        <v>0</v>
      </c>
      <c r="O30">
        <f>ROUND(CP30,2)</f>
        <v>15437.07</v>
      </c>
      <c r="P30">
        <f>ROUND(CQ30*I30,2)</f>
        <v>0</v>
      </c>
      <c r="Q30">
        <f>ROUND(CR30*I30,2)</f>
        <v>10158.27</v>
      </c>
      <c r="R30">
        <f>ROUND(CS30*I30,2)</f>
        <v>4672.43</v>
      </c>
      <c r="S30">
        <f>ROUND(CT30*I30,2)</f>
        <v>5278.8</v>
      </c>
      <c r="T30">
        <f>ROUND(CU30*I30,2)</f>
        <v>0</v>
      </c>
      <c r="U30">
        <f>CV30*I30</f>
        <v>16.6447872</v>
      </c>
      <c r="V30">
        <f>CW30*I30</f>
        <v>0</v>
      </c>
      <c r="W30">
        <f>ROUND(CX30*I30,2)</f>
        <v>0</v>
      </c>
      <c r="X30">
        <f t="shared" si="21"/>
        <v>4750.92</v>
      </c>
      <c r="Y30">
        <f t="shared" si="21"/>
        <v>2269.88</v>
      </c>
      <c r="AA30">
        <v>40519780</v>
      </c>
      <c r="AB30">
        <f>ROUND((AC30+AD30+AF30),6)</f>
        <v>1283.4717599999999</v>
      </c>
      <c r="AC30">
        <f>ROUND(((ES30*0)),6)</f>
        <v>0</v>
      </c>
      <c r="AD30">
        <f>ROUND(((((ET30*1.2)*1.15)*0.4)),6)</f>
        <v>1082.84184</v>
      </c>
      <c r="AE30">
        <f>ROUND(((((EU30*1.2)*1.15)*0.4)),6)</f>
        <v>177.58392000000001</v>
      </c>
      <c r="AF30">
        <f>ROUND(((((EV30*1.2)*1.15)*0.4)),6)</f>
        <v>200.62992</v>
      </c>
      <c r="AG30">
        <f>ROUND((AP30),6)</f>
        <v>0</v>
      </c>
      <c r="AH30">
        <f>((((EW30*1.2)*1.15)*0.4))</f>
        <v>15.897600000000001</v>
      </c>
      <c r="AI30">
        <f>((((EX30*1.2)*1.15)*0.4))</f>
        <v>0</v>
      </c>
      <c r="AJ30">
        <f>(AS30)</f>
        <v>0</v>
      </c>
      <c r="AK30">
        <v>2349.63</v>
      </c>
      <c r="AL30">
        <v>24.5</v>
      </c>
      <c r="AM30">
        <v>1961.67</v>
      </c>
      <c r="AN30">
        <v>321.70999999999998</v>
      </c>
      <c r="AO30">
        <v>363.46</v>
      </c>
      <c r="AP30">
        <v>0</v>
      </c>
      <c r="AQ30">
        <v>28.8</v>
      </c>
      <c r="AR30">
        <v>0</v>
      </c>
      <c r="AS30">
        <v>0</v>
      </c>
      <c r="AT30">
        <v>90</v>
      </c>
      <c r="AU30">
        <v>43</v>
      </c>
      <c r="AV30">
        <v>1.0469999999999999</v>
      </c>
      <c r="AW30">
        <v>1</v>
      </c>
      <c r="AZ30">
        <v>1</v>
      </c>
      <c r="BA30">
        <v>25.13</v>
      </c>
      <c r="BB30">
        <v>8.9600000000000009</v>
      </c>
      <c r="BC30">
        <v>6.17</v>
      </c>
      <c r="BD30" t="s">
        <v>4</v>
      </c>
      <c r="BE30" t="s">
        <v>4</v>
      </c>
      <c r="BF30" t="s">
        <v>4</v>
      </c>
      <c r="BG30" t="s">
        <v>4</v>
      </c>
      <c r="BH30">
        <v>0</v>
      </c>
      <c r="BI30">
        <v>2</v>
      </c>
      <c r="BJ30" t="s">
        <v>22</v>
      </c>
      <c r="BM30">
        <v>317</v>
      </c>
      <c r="BN30">
        <v>0</v>
      </c>
      <c r="BO30" t="s">
        <v>19</v>
      </c>
      <c r="BP30">
        <v>1</v>
      </c>
      <c r="BQ30">
        <v>40</v>
      </c>
      <c r="BR30">
        <v>0</v>
      </c>
      <c r="BS30">
        <v>25.13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4</v>
      </c>
      <c r="BZ30">
        <v>90</v>
      </c>
      <c r="CA30">
        <v>43</v>
      </c>
      <c r="CE30">
        <v>0</v>
      </c>
      <c r="CF30">
        <v>0</v>
      </c>
      <c r="CG30">
        <v>0</v>
      </c>
      <c r="CM30">
        <v>0</v>
      </c>
      <c r="CN30" t="s">
        <v>114</v>
      </c>
      <c r="CO30">
        <v>0</v>
      </c>
      <c r="CP30">
        <f>(P30+Q30+S30)</f>
        <v>15437.07</v>
      </c>
      <c r="CQ30">
        <f>(AC30*BC30*AW30)</f>
        <v>0</v>
      </c>
      <c r="CR30">
        <f>(AD30*BB30*AV30)</f>
        <v>10158.269242060802</v>
      </c>
      <c r="CS30">
        <f>(AE30*BS30*AV30)</f>
        <v>4672.4300533511996</v>
      </c>
      <c r="CT30">
        <f>(AF30*BA30*AV30)</f>
        <v>5278.7958944111997</v>
      </c>
      <c r="CU30">
        <f>AG30</f>
        <v>0</v>
      </c>
      <c r="CV30">
        <f>(AH30*AV30)</f>
        <v>16.6447872</v>
      </c>
      <c r="CW30">
        <f t="shared" si="22"/>
        <v>0</v>
      </c>
      <c r="CX30">
        <f t="shared" si="22"/>
        <v>0</v>
      </c>
      <c r="CY30">
        <f>S30*(BZ30/100)</f>
        <v>4750.92</v>
      </c>
      <c r="CZ30">
        <f>S30*(CA30/100)</f>
        <v>2269.884</v>
      </c>
      <c r="DC30" t="s">
        <v>4</v>
      </c>
      <c r="DD30" t="s">
        <v>30</v>
      </c>
      <c r="DE30" t="s">
        <v>31</v>
      </c>
      <c r="DF30" t="s">
        <v>31</v>
      </c>
      <c r="DG30" t="s">
        <v>31</v>
      </c>
      <c r="DH30" t="s">
        <v>4</v>
      </c>
      <c r="DI30" t="s">
        <v>31</v>
      </c>
      <c r="DJ30" t="s">
        <v>31</v>
      </c>
      <c r="DK30" t="s">
        <v>4</v>
      </c>
      <c r="DL30" t="s">
        <v>4</v>
      </c>
      <c r="DM30" t="s">
        <v>4</v>
      </c>
      <c r="DN30">
        <v>112</v>
      </c>
      <c r="DO30">
        <v>70</v>
      </c>
      <c r="DP30">
        <v>1.0469999999999999</v>
      </c>
      <c r="DQ30">
        <v>1</v>
      </c>
      <c r="DU30">
        <v>1013</v>
      </c>
      <c r="DV30" t="s">
        <v>21</v>
      </c>
      <c r="DW30" t="s">
        <v>21</v>
      </c>
      <c r="DX30">
        <v>1</v>
      </c>
      <c r="EE30">
        <v>36316608</v>
      </c>
      <c r="EF30">
        <v>40</v>
      </c>
      <c r="EG30" t="s">
        <v>24</v>
      </c>
      <c r="EH30">
        <v>0</v>
      </c>
      <c r="EI30" t="s">
        <v>4</v>
      </c>
      <c r="EJ30">
        <v>2</v>
      </c>
      <c r="EK30">
        <v>317</v>
      </c>
      <c r="EL30" t="s">
        <v>25</v>
      </c>
      <c r="EM30" t="s">
        <v>26</v>
      </c>
      <c r="EO30" t="s">
        <v>32</v>
      </c>
      <c r="EQ30">
        <v>0</v>
      </c>
      <c r="ER30">
        <v>2349.63</v>
      </c>
      <c r="ES30">
        <v>24.5</v>
      </c>
      <c r="ET30">
        <v>1961.67</v>
      </c>
      <c r="EU30">
        <v>321.70999999999998</v>
      </c>
      <c r="EV30">
        <v>363.46</v>
      </c>
      <c r="EW30">
        <v>28.8</v>
      </c>
      <c r="EX30">
        <v>0</v>
      </c>
      <c r="EY30">
        <v>0</v>
      </c>
      <c r="FQ30">
        <v>0</v>
      </c>
      <c r="FR30">
        <f>ROUND(IF(AND(BH30=3,BI30=3),P30,0),2)</f>
        <v>0</v>
      </c>
      <c r="FS30">
        <v>0</v>
      </c>
      <c r="FX30">
        <v>112</v>
      </c>
      <c r="FY30">
        <v>70</v>
      </c>
      <c r="GA30" t="s">
        <v>4</v>
      </c>
      <c r="GD30">
        <v>0</v>
      </c>
      <c r="GF30">
        <v>1776978303</v>
      </c>
      <c r="GG30">
        <v>2</v>
      </c>
      <c r="GH30">
        <v>1</v>
      </c>
      <c r="GI30">
        <v>2</v>
      </c>
      <c r="GJ30">
        <v>0</v>
      </c>
      <c r="GK30">
        <f>ROUND(R30*(R12)/100,2)</f>
        <v>7335.72</v>
      </c>
      <c r="GL30">
        <f>ROUND(IF(AND(BH30=3,BI30=3,FS30&lt;&gt;0),P30,0),2)</f>
        <v>0</v>
      </c>
      <c r="GM30">
        <f>ROUND(O30+X30+Y30+GK30,2)+GX30</f>
        <v>29793.59</v>
      </c>
      <c r="GN30">
        <f>IF(OR(BI30=0,BI30=1),ROUND(O30+X30+Y30+GK30,2),0)</f>
        <v>0</v>
      </c>
      <c r="GO30">
        <f>IF(BI30=2,ROUND(O30+X30+Y30+GK30,2),0)</f>
        <v>29793.59</v>
      </c>
      <c r="GP30">
        <f>IF(BI30=4,ROUND(O30+X30+Y30+GK30,2)+GX30,0)</f>
        <v>0</v>
      </c>
      <c r="GR30">
        <v>0</v>
      </c>
      <c r="GS30">
        <v>3</v>
      </c>
      <c r="GT30">
        <v>0</v>
      </c>
      <c r="GU30" t="s">
        <v>4</v>
      </c>
      <c r="GV30">
        <f>ROUND((GT30),6)</f>
        <v>0</v>
      </c>
      <c r="GW30">
        <v>1</v>
      </c>
      <c r="GX30">
        <f>ROUND(HC30*I30,2)</f>
        <v>0</v>
      </c>
      <c r="HA30">
        <v>0</v>
      </c>
      <c r="HB30">
        <v>0</v>
      </c>
      <c r="HC30">
        <f>GV30*GW30</f>
        <v>0</v>
      </c>
      <c r="IK30">
        <v>0</v>
      </c>
    </row>
    <row r="31" spans="1:245" x14ac:dyDescent="0.25">
      <c r="A31">
        <v>17</v>
      </c>
      <c r="B31">
        <v>1</v>
      </c>
      <c r="C31">
        <f>ROW(SmtRes!A3)</f>
        <v>3</v>
      </c>
      <c r="D31">
        <f>ROW(EtalonRes!A3)</f>
        <v>3</v>
      </c>
      <c r="E31" t="s">
        <v>33</v>
      </c>
      <c r="F31" t="s">
        <v>34</v>
      </c>
      <c r="G31" t="s">
        <v>35</v>
      </c>
      <c r="H31" t="s">
        <v>21</v>
      </c>
      <c r="I31">
        <v>1</v>
      </c>
      <c r="J31">
        <v>0</v>
      </c>
      <c r="O31">
        <f>ROUND(CP31,2)</f>
        <v>1103.67</v>
      </c>
      <c r="P31">
        <f>ROUND(CQ31*I31,2)</f>
        <v>46.65</v>
      </c>
      <c r="Q31">
        <f>ROUND(CR31*I31,2)</f>
        <v>71.95</v>
      </c>
      <c r="R31">
        <f>ROUND(CS31*I31,2)</f>
        <v>37.4</v>
      </c>
      <c r="S31">
        <f>ROUND(CT31*I31,2)</f>
        <v>985.07</v>
      </c>
      <c r="T31">
        <f>ROUND(CU31*I31,2)</f>
        <v>0</v>
      </c>
      <c r="U31">
        <f>CV31*I31</f>
        <v>3.1064489999999991</v>
      </c>
      <c r="V31">
        <f>CW31*I31</f>
        <v>0</v>
      </c>
      <c r="W31">
        <f>ROUND(CX31*I31,2)</f>
        <v>0</v>
      </c>
      <c r="X31">
        <f t="shared" si="21"/>
        <v>886.56</v>
      </c>
      <c r="Y31">
        <f t="shared" si="21"/>
        <v>423.58</v>
      </c>
      <c r="AA31">
        <v>40519780</v>
      </c>
      <c r="AB31">
        <f>ROUND((AC31+AD31+AF31),6)</f>
        <v>52.120199999999997</v>
      </c>
      <c r="AC31">
        <f>ROUND((ES31),6)</f>
        <v>7.56</v>
      </c>
      <c r="AD31">
        <f>ROUND((((ET31*1.2)*1.15)),6)</f>
        <v>7.1208</v>
      </c>
      <c r="AE31">
        <f>ROUND((((EU31*1.2)*1.15)),6)</f>
        <v>1.4214</v>
      </c>
      <c r="AF31">
        <f>ROUND((((EV31*1.2)*1.15)),6)</f>
        <v>37.439399999999999</v>
      </c>
      <c r="AG31">
        <f>ROUND((AP31),6)</f>
        <v>0</v>
      </c>
      <c r="AH31">
        <f>(((EW31*1.2)*1.15))</f>
        <v>2.9669999999999992</v>
      </c>
      <c r="AI31">
        <f>(((EX31*1.2)*1.15))</f>
        <v>0</v>
      </c>
      <c r="AJ31">
        <f>(AS31)</f>
        <v>0</v>
      </c>
      <c r="AK31">
        <v>39.85</v>
      </c>
      <c r="AL31">
        <v>7.56</v>
      </c>
      <c r="AM31">
        <v>5.16</v>
      </c>
      <c r="AN31">
        <v>1.03</v>
      </c>
      <c r="AO31">
        <v>27.13</v>
      </c>
      <c r="AP31">
        <v>0</v>
      </c>
      <c r="AQ31">
        <v>2.15</v>
      </c>
      <c r="AR31">
        <v>0</v>
      </c>
      <c r="AS31">
        <v>0</v>
      </c>
      <c r="AT31">
        <v>90</v>
      </c>
      <c r="AU31">
        <v>43</v>
      </c>
      <c r="AV31">
        <v>1.0469999999999999</v>
      </c>
      <c r="AW31">
        <v>1</v>
      </c>
      <c r="AZ31">
        <v>1</v>
      </c>
      <c r="BA31">
        <v>25.13</v>
      </c>
      <c r="BB31">
        <v>9.65</v>
      </c>
      <c r="BC31">
        <v>6.17</v>
      </c>
      <c r="BD31" t="s">
        <v>4</v>
      </c>
      <c r="BE31" t="s">
        <v>4</v>
      </c>
      <c r="BF31" t="s">
        <v>4</v>
      </c>
      <c r="BG31" t="s">
        <v>4</v>
      </c>
      <c r="BH31">
        <v>0</v>
      </c>
      <c r="BI31">
        <v>2</v>
      </c>
      <c r="BJ31" t="s">
        <v>36</v>
      </c>
      <c r="BM31">
        <v>317</v>
      </c>
      <c r="BN31">
        <v>0</v>
      </c>
      <c r="BO31" t="s">
        <v>34</v>
      </c>
      <c r="BP31">
        <v>1</v>
      </c>
      <c r="BQ31">
        <v>40</v>
      </c>
      <c r="BR31">
        <v>0</v>
      </c>
      <c r="BS31">
        <v>25.13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4</v>
      </c>
      <c r="BZ31">
        <v>90</v>
      </c>
      <c r="CA31">
        <v>43</v>
      </c>
      <c r="CE31">
        <v>0</v>
      </c>
      <c r="CF31">
        <v>0</v>
      </c>
      <c r="CG31">
        <v>0</v>
      </c>
      <c r="CM31">
        <v>0</v>
      </c>
      <c r="CN31" t="s">
        <v>114</v>
      </c>
      <c r="CO31">
        <v>0</v>
      </c>
      <c r="CP31">
        <f>(P31+Q31+S31)</f>
        <v>1103.67</v>
      </c>
      <c r="CQ31">
        <f>(AC31*BC31*AW31)</f>
        <v>46.645199999999996</v>
      </c>
      <c r="CR31">
        <f>(AD31*BB31*AV31)</f>
        <v>71.945358839999997</v>
      </c>
      <c r="CS31">
        <f>(AE31*BS31*AV31)</f>
        <v>37.398611753999994</v>
      </c>
      <c r="CT31">
        <f>(AF31*BA31*AV31)</f>
        <v>985.07217173399988</v>
      </c>
      <c r="CU31">
        <f>AG31</f>
        <v>0</v>
      </c>
      <c r="CV31">
        <f>(AH31*AV31)</f>
        <v>3.1064489999999991</v>
      </c>
      <c r="CW31">
        <f t="shared" si="22"/>
        <v>0</v>
      </c>
      <c r="CX31">
        <f t="shared" si="22"/>
        <v>0</v>
      </c>
      <c r="CY31">
        <f>S31*(BZ31/100)</f>
        <v>886.5630000000001</v>
      </c>
      <c r="CZ31">
        <f>S31*(CA31/100)</f>
        <v>423.58010000000002</v>
      </c>
      <c r="DC31" t="s">
        <v>4</v>
      </c>
      <c r="DD31" t="s">
        <v>4</v>
      </c>
      <c r="DE31" t="s">
        <v>37</v>
      </c>
      <c r="DF31" t="s">
        <v>37</v>
      </c>
      <c r="DG31" t="s">
        <v>37</v>
      </c>
      <c r="DH31" t="s">
        <v>4</v>
      </c>
      <c r="DI31" t="s">
        <v>37</v>
      </c>
      <c r="DJ31" t="s">
        <v>37</v>
      </c>
      <c r="DK31" t="s">
        <v>4</v>
      </c>
      <c r="DL31" t="s">
        <v>4</v>
      </c>
      <c r="DM31" t="s">
        <v>4</v>
      </c>
      <c r="DN31">
        <v>112</v>
      </c>
      <c r="DO31">
        <v>70</v>
      </c>
      <c r="DP31">
        <v>1.0469999999999999</v>
      </c>
      <c r="DQ31">
        <v>1</v>
      </c>
      <c r="DU31">
        <v>1013</v>
      </c>
      <c r="DV31" t="s">
        <v>21</v>
      </c>
      <c r="DW31" t="s">
        <v>21</v>
      </c>
      <c r="DX31">
        <v>1</v>
      </c>
      <c r="EE31">
        <v>36316608</v>
      </c>
      <c r="EF31">
        <v>40</v>
      </c>
      <c r="EG31" t="s">
        <v>24</v>
      </c>
      <c r="EH31">
        <v>0</v>
      </c>
      <c r="EI31" t="s">
        <v>4</v>
      </c>
      <c r="EJ31">
        <v>2</v>
      </c>
      <c r="EK31">
        <v>317</v>
      </c>
      <c r="EL31" t="s">
        <v>25</v>
      </c>
      <c r="EM31" t="s">
        <v>26</v>
      </c>
      <c r="EO31" t="s">
        <v>32</v>
      </c>
      <c r="EQ31">
        <v>0</v>
      </c>
      <c r="ER31">
        <v>39.85</v>
      </c>
      <c r="ES31">
        <v>7.56</v>
      </c>
      <c r="ET31">
        <v>5.16</v>
      </c>
      <c r="EU31">
        <v>1.03</v>
      </c>
      <c r="EV31">
        <v>27.13</v>
      </c>
      <c r="EW31">
        <v>2.15</v>
      </c>
      <c r="EX31">
        <v>0</v>
      </c>
      <c r="EY31">
        <v>0</v>
      </c>
      <c r="FQ31">
        <v>0</v>
      </c>
      <c r="FR31">
        <f>ROUND(IF(AND(BH31=3,BI31=3),P31,0),2)</f>
        <v>0</v>
      </c>
      <c r="FS31">
        <v>0</v>
      </c>
      <c r="FX31">
        <v>112</v>
      </c>
      <c r="FY31">
        <v>70</v>
      </c>
      <c r="GA31" t="s">
        <v>4</v>
      </c>
      <c r="GD31">
        <v>0</v>
      </c>
      <c r="GF31">
        <v>-68154774</v>
      </c>
      <c r="GG31">
        <v>2</v>
      </c>
      <c r="GH31">
        <v>1</v>
      </c>
      <c r="GI31">
        <v>2</v>
      </c>
      <c r="GJ31">
        <v>0</v>
      </c>
      <c r="GK31">
        <f>ROUND(R31*(R12)/100,2)</f>
        <v>58.72</v>
      </c>
      <c r="GL31">
        <f>ROUND(IF(AND(BH31=3,BI31=3,FS31&lt;&gt;0),P31,0),2)</f>
        <v>0</v>
      </c>
      <c r="GM31">
        <f>ROUND(O31+X31+Y31+GK31,2)+GX31</f>
        <v>2472.5300000000002</v>
      </c>
      <c r="GN31">
        <f>IF(OR(BI31=0,BI31=1),ROUND(O31+X31+Y31+GK31,2),0)</f>
        <v>0</v>
      </c>
      <c r="GO31">
        <f>IF(BI31=2,ROUND(O31+X31+Y31+GK31,2),0)</f>
        <v>2472.5300000000002</v>
      </c>
      <c r="GP31">
        <f>IF(BI31=4,ROUND(O31+X31+Y31+GK31,2)+GX31,0)</f>
        <v>0</v>
      </c>
      <c r="GR31">
        <v>0</v>
      </c>
      <c r="GS31">
        <v>3</v>
      </c>
      <c r="GT31">
        <v>0</v>
      </c>
      <c r="GU31" t="s">
        <v>4</v>
      </c>
      <c r="GV31">
        <f>ROUND((GT31),6)</f>
        <v>0</v>
      </c>
      <c r="GW31">
        <v>1</v>
      </c>
      <c r="GX31">
        <f>ROUND(HC31*I31,2)</f>
        <v>0</v>
      </c>
      <c r="HA31">
        <v>0</v>
      </c>
      <c r="HB31">
        <v>0</v>
      </c>
      <c r="HC31">
        <f>GV31*GW31</f>
        <v>0</v>
      </c>
      <c r="IK31">
        <v>0</v>
      </c>
    </row>
    <row r="33" spans="1:206" x14ac:dyDescent="0.25">
      <c r="A33" s="2">
        <v>51</v>
      </c>
      <c r="B33" s="2">
        <f>B24</f>
        <v>1</v>
      </c>
      <c r="C33" s="2">
        <f>A24</f>
        <v>4</v>
      </c>
      <c r="D33" s="2">
        <f>ROW(A24)</f>
        <v>24</v>
      </c>
      <c r="E33" s="2"/>
      <c r="F33" s="2" t="str">
        <f>IF(F24&lt;&gt;"",F24,"")</f>
        <v/>
      </c>
      <c r="G33" s="2" t="str">
        <f>IF(G24&lt;&gt;"",G24,"")</f>
        <v>Монтажные работы и материалы</v>
      </c>
      <c r="H33" s="2">
        <v>0</v>
      </c>
      <c r="I33" s="2"/>
      <c r="J33" s="2"/>
      <c r="K33" s="2"/>
      <c r="L33" s="2"/>
      <c r="M33" s="2"/>
      <c r="N33" s="2"/>
      <c r="O33" s="2">
        <f t="shared" ref="O33:T33" si="23">ROUND(AB33,2)</f>
        <v>55284.57</v>
      </c>
      <c r="P33" s="2">
        <f t="shared" si="23"/>
        <v>197.82</v>
      </c>
      <c r="Q33" s="2">
        <f t="shared" si="23"/>
        <v>35625.89</v>
      </c>
      <c r="R33" s="2">
        <f t="shared" si="23"/>
        <v>16390.91</v>
      </c>
      <c r="S33" s="2">
        <f t="shared" si="23"/>
        <v>19460.86</v>
      </c>
      <c r="T33" s="2">
        <f t="shared" si="23"/>
        <v>0</v>
      </c>
      <c r="U33" s="2">
        <f>AH33</f>
        <v>61.363204199999998</v>
      </c>
      <c r="V33" s="2">
        <f>AI33</f>
        <v>0</v>
      </c>
      <c r="W33" s="2">
        <f>ROUND(AJ33,2)</f>
        <v>0</v>
      </c>
      <c r="X33" s="2">
        <f>ROUND(AK33,2)</f>
        <v>17514.77</v>
      </c>
      <c r="Y33" s="2">
        <f>ROUND(AL33,2)</f>
        <v>8368.17</v>
      </c>
      <c r="Z33" s="2"/>
      <c r="AA33" s="2"/>
      <c r="AB33" s="2">
        <f>ROUND(SUMIF(AA28:AA31,"=40519780",O28:O31),2)</f>
        <v>55284.57</v>
      </c>
      <c r="AC33" s="2">
        <f>ROUND(SUMIF(AA28:AA31,"=40519780",P28:P31),2)</f>
        <v>197.82</v>
      </c>
      <c r="AD33" s="2">
        <f>ROUND(SUMIF(AA28:AA31,"=40519780",Q28:Q31),2)</f>
        <v>35625.89</v>
      </c>
      <c r="AE33" s="2">
        <f>ROUND(SUMIF(AA28:AA31,"=40519780",R28:R31),2)</f>
        <v>16390.91</v>
      </c>
      <c r="AF33" s="2">
        <f>ROUND(SUMIF(AA28:AA31,"=40519780",S28:S31),2)</f>
        <v>19460.86</v>
      </c>
      <c r="AG33" s="2">
        <f>ROUND(SUMIF(AA28:AA31,"=40519780",T28:T31),2)</f>
        <v>0</v>
      </c>
      <c r="AH33" s="2">
        <f>SUMIF(AA28:AA31,"=40519780",U28:U31)</f>
        <v>61.363204199999998</v>
      </c>
      <c r="AI33" s="2">
        <f>SUMIF(AA28:AA31,"=40519780",V28:V31)</f>
        <v>0</v>
      </c>
      <c r="AJ33" s="2">
        <f>ROUND(SUMIF(AA28:AA31,"=40519780",W28:W31),2)</f>
        <v>0</v>
      </c>
      <c r="AK33" s="2">
        <f>ROUND(SUMIF(AA28:AA31,"=40519780",X28:X31),2)</f>
        <v>17514.77</v>
      </c>
      <c r="AL33" s="2">
        <f>ROUND(SUMIF(AA28:AA31,"=40519780",Y28:Y31),2)</f>
        <v>8368.17</v>
      </c>
      <c r="AM33" s="2"/>
      <c r="AN33" s="2"/>
      <c r="AO33" s="2">
        <f t="shared" ref="AO33:BD33" si="24">ROUND(BX33,2)</f>
        <v>0</v>
      </c>
      <c r="AP33" s="2">
        <f t="shared" si="24"/>
        <v>0</v>
      </c>
      <c r="AQ33" s="2">
        <f t="shared" si="24"/>
        <v>0</v>
      </c>
      <c r="AR33" s="2">
        <f t="shared" si="24"/>
        <v>106901.25</v>
      </c>
      <c r="AS33" s="2">
        <f t="shared" si="24"/>
        <v>0</v>
      </c>
      <c r="AT33" s="2">
        <f t="shared" si="24"/>
        <v>106901.25</v>
      </c>
      <c r="AU33" s="2">
        <f t="shared" si="24"/>
        <v>0</v>
      </c>
      <c r="AV33" s="2">
        <f t="shared" si="24"/>
        <v>197.82</v>
      </c>
      <c r="AW33" s="2">
        <f t="shared" si="24"/>
        <v>197.82</v>
      </c>
      <c r="AX33" s="2">
        <f t="shared" si="24"/>
        <v>0</v>
      </c>
      <c r="AY33" s="2">
        <f t="shared" si="24"/>
        <v>197.82</v>
      </c>
      <c r="AZ33" s="2">
        <f t="shared" si="24"/>
        <v>0</v>
      </c>
      <c r="BA33" s="2">
        <f t="shared" si="24"/>
        <v>0</v>
      </c>
      <c r="BB33" s="2">
        <f t="shared" si="24"/>
        <v>0</v>
      </c>
      <c r="BC33" s="2">
        <f t="shared" si="24"/>
        <v>0</v>
      </c>
      <c r="BD33" s="2">
        <f t="shared" si="24"/>
        <v>0</v>
      </c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>
        <f>ROUND(SUMIF(AA28:AA31,"=40519780",FQ28:FQ31),2)</f>
        <v>0</v>
      </c>
      <c r="BY33" s="2">
        <f>ROUND(SUMIF(AA28:AA31,"=40519780",FR28:FR31),2)</f>
        <v>0</v>
      </c>
      <c r="BZ33" s="2">
        <f>ROUND(SUMIF(AA28:AA31,"=40519780",GL28:GL31),2)</f>
        <v>0</v>
      </c>
      <c r="CA33" s="2">
        <f>ROUND(SUMIF(AA28:AA31,"=40519780",GM28:GM31),2)</f>
        <v>106901.25</v>
      </c>
      <c r="CB33" s="2">
        <f>ROUND(SUMIF(AA28:AA31,"=40519780",GN28:GN31),2)</f>
        <v>0</v>
      </c>
      <c r="CC33" s="2">
        <f>ROUND(SUMIF(AA28:AA31,"=40519780",GO28:GO31),2)</f>
        <v>106901.25</v>
      </c>
      <c r="CD33" s="2">
        <f>ROUND(SUMIF(AA28:AA31,"=40519780",GP28:GP31),2)</f>
        <v>0</v>
      </c>
      <c r="CE33" s="2">
        <f>AC33-BX33</f>
        <v>197.82</v>
      </c>
      <c r="CF33" s="2">
        <f>AC33-BY33</f>
        <v>197.82</v>
      </c>
      <c r="CG33" s="2">
        <f>BX33-BZ33</f>
        <v>0</v>
      </c>
      <c r="CH33" s="2">
        <f>AC33-BX33-BY33+BZ33</f>
        <v>197.82</v>
      </c>
      <c r="CI33" s="2">
        <f>BY33-BZ33</f>
        <v>0</v>
      </c>
      <c r="CJ33" s="2">
        <f>ROUND(SUMIF(AA28:AA31,"=40519780",GX28:GX31),2)</f>
        <v>0</v>
      </c>
      <c r="CK33" s="2">
        <f>ROUND(SUMIF(AA28:AA31,"=40519780",GY28:GY31),2)</f>
        <v>0</v>
      </c>
      <c r="CL33" s="2">
        <f>ROUND(SUMIF(AA28:AA31,"=40519780",GZ28:GZ31),2)</f>
        <v>0</v>
      </c>
      <c r="CM33" s="2">
        <f>ROUND(SUMIF(AA28:AA31,"=40519780",HD28:HD31),2)</f>
        <v>0</v>
      </c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>
        <v>0</v>
      </c>
    </row>
    <row r="35" spans="1:206" x14ac:dyDescent="0.25">
      <c r="A35" s="4">
        <v>50</v>
      </c>
      <c r="B35" s="4">
        <v>0</v>
      </c>
      <c r="C35" s="4">
        <v>0</v>
      </c>
      <c r="D35" s="4">
        <v>1</v>
      </c>
      <c r="E35" s="4">
        <v>201</v>
      </c>
      <c r="F35" s="4">
        <f>ROUND(Source!O33,O35)</f>
        <v>55284.57</v>
      </c>
      <c r="G35" s="4" t="s">
        <v>38</v>
      </c>
      <c r="H35" s="4" t="s">
        <v>39</v>
      </c>
      <c r="I35" s="4"/>
      <c r="J35" s="4"/>
      <c r="K35" s="4">
        <v>201</v>
      </c>
      <c r="L35" s="4">
        <v>1</v>
      </c>
      <c r="M35" s="4">
        <v>3</v>
      </c>
      <c r="N35" s="4" t="s">
        <v>4</v>
      </c>
      <c r="O35" s="4">
        <v>2</v>
      </c>
      <c r="P35" s="4"/>
      <c r="Q35" s="4"/>
      <c r="R35" s="4"/>
      <c r="S35" s="4"/>
      <c r="T35" s="4"/>
      <c r="U35" s="4"/>
      <c r="V35" s="4"/>
      <c r="W35" s="4"/>
    </row>
    <row r="36" spans="1:206" x14ac:dyDescent="0.25">
      <c r="A36" s="4">
        <v>50</v>
      </c>
      <c r="B36" s="4">
        <v>0</v>
      </c>
      <c r="C36" s="4">
        <v>0</v>
      </c>
      <c r="D36" s="4">
        <v>1</v>
      </c>
      <c r="E36" s="4">
        <v>202</v>
      </c>
      <c r="F36" s="4">
        <f>ROUND(Source!P33,O36)</f>
        <v>197.82</v>
      </c>
      <c r="G36" s="4" t="s">
        <v>40</v>
      </c>
      <c r="H36" s="4" t="s">
        <v>41</v>
      </c>
      <c r="I36" s="4"/>
      <c r="J36" s="4"/>
      <c r="K36" s="4">
        <v>202</v>
      </c>
      <c r="L36" s="4">
        <v>2</v>
      </c>
      <c r="M36" s="4">
        <v>3</v>
      </c>
      <c r="N36" s="4" t="s">
        <v>4</v>
      </c>
      <c r="O36" s="4">
        <v>2</v>
      </c>
      <c r="P36" s="4"/>
      <c r="Q36" s="4"/>
      <c r="R36" s="4"/>
      <c r="S36" s="4"/>
      <c r="T36" s="4"/>
      <c r="U36" s="4"/>
      <c r="V36" s="4"/>
      <c r="W36" s="4"/>
    </row>
    <row r="37" spans="1:206" x14ac:dyDescent="0.25">
      <c r="A37" s="4">
        <v>50</v>
      </c>
      <c r="B37" s="4">
        <v>0</v>
      </c>
      <c r="C37" s="4">
        <v>0</v>
      </c>
      <c r="D37" s="4">
        <v>1</v>
      </c>
      <c r="E37" s="4">
        <v>227</v>
      </c>
      <c r="F37" s="4">
        <f>ROUND(Source!AO33,O37)</f>
        <v>0</v>
      </c>
      <c r="G37" s="4" t="s">
        <v>42</v>
      </c>
      <c r="H37" s="4" t="s">
        <v>43</v>
      </c>
      <c r="I37" s="4"/>
      <c r="J37" s="4"/>
      <c r="K37" s="4">
        <v>222</v>
      </c>
      <c r="L37" s="4">
        <v>3</v>
      </c>
      <c r="M37" s="4">
        <v>3</v>
      </c>
      <c r="N37" s="4" t="s">
        <v>4</v>
      </c>
      <c r="O37" s="4">
        <v>2</v>
      </c>
      <c r="P37" s="4"/>
      <c r="Q37" s="4"/>
      <c r="R37" s="4"/>
      <c r="S37" s="4"/>
      <c r="T37" s="4"/>
      <c r="U37" s="4"/>
      <c r="V37" s="4"/>
      <c r="W37" s="4"/>
    </row>
    <row r="38" spans="1:206" x14ac:dyDescent="0.25">
      <c r="A38" s="4">
        <v>50</v>
      </c>
      <c r="B38" s="4">
        <v>0</v>
      </c>
      <c r="C38" s="4">
        <v>0</v>
      </c>
      <c r="D38" s="4">
        <v>1</v>
      </c>
      <c r="E38" s="4">
        <v>225</v>
      </c>
      <c r="F38" s="4">
        <f>ROUND(Source!AV33,O38)</f>
        <v>197.82</v>
      </c>
      <c r="G38" s="4" t="s">
        <v>44</v>
      </c>
      <c r="H38" s="4" t="s">
        <v>45</v>
      </c>
      <c r="I38" s="4"/>
      <c r="J38" s="4"/>
      <c r="K38" s="4">
        <v>225</v>
      </c>
      <c r="L38" s="4">
        <v>4</v>
      </c>
      <c r="M38" s="4">
        <v>3</v>
      </c>
      <c r="N38" s="4" t="s">
        <v>4</v>
      </c>
      <c r="O38" s="4">
        <v>2</v>
      </c>
      <c r="P38" s="4"/>
      <c r="Q38" s="4"/>
      <c r="R38" s="4"/>
      <c r="S38" s="4"/>
      <c r="T38" s="4"/>
      <c r="U38" s="4"/>
      <c r="V38" s="4"/>
      <c r="W38" s="4"/>
    </row>
    <row r="39" spans="1:206" x14ac:dyDescent="0.25">
      <c r="A39" s="4">
        <v>50</v>
      </c>
      <c r="B39" s="4">
        <v>0</v>
      </c>
      <c r="C39" s="4">
        <v>0</v>
      </c>
      <c r="D39" s="4">
        <v>1</v>
      </c>
      <c r="E39" s="4">
        <v>226</v>
      </c>
      <c r="F39" s="4">
        <f>ROUND(Source!AW33,O39)</f>
        <v>197.82</v>
      </c>
      <c r="G39" s="4" t="s">
        <v>46</v>
      </c>
      <c r="H39" s="4" t="s">
        <v>47</v>
      </c>
      <c r="I39" s="4"/>
      <c r="J39" s="4"/>
      <c r="K39" s="4">
        <v>226</v>
      </c>
      <c r="L39" s="4">
        <v>5</v>
      </c>
      <c r="M39" s="4">
        <v>3</v>
      </c>
      <c r="N39" s="4" t="s">
        <v>4</v>
      </c>
      <c r="O39" s="4">
        <v>2</v>
      </c>
      <c r="P39" s="4"/>
      <c r="Q39" s="4"/>
      <c r="R39" s="4"/>
      <c r="S39" s="4"/>
      <c r="T39" s="4"/>
      <c r="U39" s="4"/>
      <c r="V39" s="4"/>
      <c r="W39" s="4"/>
    </row>
    <row r="40" spans="1:206" x14ac:dyDescent="0.25">
      <c r="A40" s="4">
        <v>50</v>
      </c>
      <c r="B40" s="4">
        <v>0</v>
      </c>
      <c r="C40" s="4">
        <v>0</v>
      </c>
      <c r="D40" s="4">
        <v>1</v>
      </c>
      <c r="E40" s="4">
        <v>0</v>
      </c>
      <c r="F40" s="4">
        <f>ROUND(Source!AX33,O40)</f>
        <v>0</v>
      </c>
      <c r="G40" s="4" t="s">
        <v>48</v>
      </c>
      <c r="H40" s="4" t="s">
        <v>49</v>
      </c>
      <c r="I40" s="4"/>
      <c r="J40" s="4"/>
      <c r="K40" s="4">
        <v>227</v>
      </c>
      <c r="L40" s="4">
        <v>6</v>
      </c>
      <c r="M40" s="4">
        <v>3</v>
      </c>
      <c r="N40" s="4" t="s">
        <v>4</v>
      </c>
      <c r="O40" s="4">
        <v>2</v>
      </c>
      <c r="P40" s="4"/>
      <c r="Q40" s="4"/>
      <c r="R40" s="4"/>
      <c r="S40" s="4"/>
      <c r="T40" s="4"/>
      <c r="U40" s="4"/>
      <c r="V40" s="4"/>
      <c r="W40" s="4"/>
    </row>
    <row r="41" spans="1:206" x14ac:dyDescent="0.25">
      <c r="A41" s="4">
        <v>50</v>
      </c>
      <c r="B41" s="4">
        <v>0</v>
      </c>
      <c r="C41" s="4">
        <v>0</v>
      </c>
      <c r="D41" s="4">
        <v>1</v>
      </c>
      <c r="E41" s="4">
        <v>228</v>
      </c>
      <c r="F41" s="4">
        <f>ROUND(Source!AY33,O41)</f>
        <v>197.82</v>
      </c>
      <c r="G41" s="4" t="s">
        <v>50</v>
      </c>
      <c r="H41" s="4" t="s">
        <v>51</v>
      </c>
      <c r="I41" s="4"/>
      <c r="J41" s="4"/>
      <c r="K41" s="4">
        <v>228</v>
      </c>
      <c r="L41" s="4">
        <v>7</v>
      </c>
      <c r="M41" s="4">
        <v>3</v>
      </c>
      <c r="N41" s="4" t="s">
        <v>4</v>
      </c>
      <c r="O41" s="4">
        <v>2</v>
      </c>
      <c r="P41" s="4"/>
      <c r="Q41" s="4"/>
      <c r="R41" s="4"/>
      <c r="S41" s="4"/>
      <c r="T41" s="4"/>
      <c r="U41" s="4"/>
      <c r="V41" s="4"/>
      <c r="W41" s="4"/>
    </row>
    <row r="42" spans="1:206" x14ac:dyDescent="0.25">
      <c r="A42" s="4">
        <v>50</v>
      </c>
      <c r="B42" s="4">
        <v>0</v>
      </c>
      <c r="C42" s="4">
        <v>0</v>
      </c>
      <c r="D42" s="4">
        <v>1</v>
      </c>
      <c r="E42" s="4">
        <v>216</v>
      </c>
      <c r="F42" s="4">
        <f>ROUND(Source!AP33,O42)</f>
        <v>0</v>
      </c>
      <c r="G42" s="4" t="s">
        <v>52</v>
      </c>
      <c r="H42" s="4" t="s">
        <v>53</v>
      </c>
      <c r="I42" s="4"/>
      <c r="J42" s="4"/>
      <c r="K42" s="4">
        <v>216</v>
      </c>
      <c r="L42" s="4">
        <v>8</v>
      </c>
      <c r="M42" s="4">
        <v>3</v>
      </c>
      <c r="N42" s="4" t="s">
        <v>4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06" x14ac:dyDescent="0.25">
      <c r="A43" s="4">
        <v>50</v>
      </c>
      <c r="B43" s="4">
        <v>0</v>
      </c>
      <c r="C43" s="4">
        <v>0</v>
      </c>
      <c r="D43" s="4">
        <v>1</v>
      </c>
      <c r="E43" s="4">
        <v>223</v>
      </c>
      <c r="F43" s="4">
        <f>ROUND(Source!AQ33,O43)</f>
        <v>0</v>
      </c>
      <c r="G43" s="4" t="s">
        <v>54</v>
      </c>
      <c r="H43" s="4" t="s">
        <v>55</v>
      </c>
      <c r="I43" s="4"/>
      <c r="J43" s="4"/>
      <c r="K43" s="4">
        <v>223</v>
      </c>
      <c r="L43" s="4">
        <v>9</v>
      </c>
      <c r="M43" s="4">
        <v>3</v>
      </c>
      <c r="N43" s="4" t="s">
        <v>4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06" x14ac:dyDescent="0.25">
      <c r="A44" s="4">
        <v>50</v>
      </c>
      <c r="B44" s="4">
        <v>0</v>
      </c>
      <c r="C44" s="4">
        <v>0</v>
      </c>
      <c r="D44" s="4">
        <v>1</v>
      </c>
      <c r="E44" s="4">
        <v>229</v>
      </c>
      <c r="F44" s="4">
        <f>ROUND(Source!AZ33,O44)</f>
        <v>0</v>
      </c>
      <c r="G44" s="4" t="s">
        <v>56</v>
      </c>
      <c r="H44" s="4" t="s">
        <v>57</v>
      </c>
      <c r="I44" s="4"/>
      <c r="J44" s="4"/>
      <c r="K44" s="4">
        <v>229</v>
      </c>
      <c r="L44" s="4">
        <v>10</v>
      </c>
      <c r="M44" s="4">
        <v>3</v>
      </c>
      <c r="N44" s="4" t="s">
        <v>4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06" x14ac:dyDescent="0.25">
      <c r="A45" s="4">
        <v>50</v>
      </c>
      <c r="B45" s="4">
        <v>0</v>
      </c>
      <c r="C45" s="4">
        <v>0</v>
      </c>
      <c r="D45" s="4">
        <v>1</v>
      </c>
      <c r="E45" s="4">
        <v>203</v>
      </c>
      <c r="F45" s="4">
        <f>ROUND(Source!Q33,O45)</f>
        <v>35625.89</v>
      </c>
      <c r="G45" s="4" t="s">
        <v>58</v>
      </c>
      <c r="H45" s="4" t="s">
        <v>59</v>
      </c>
      <c r="I45" s="4"/>
      <c r="J45" s="4"/>
      <c r="K45" s="4">
        <v>203</v>
      </c>
      <c r="L45" s="4">
        <v>11</v>
      </c>
      <c r="M45" s="4">
        <v>3</v>
      </c>
      <c r="N45" s="4" t="s">
        <v>4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06" x14ac:dyDescent="0.25">
      <c r="A46" s="4">
        <v>50</v>
      </c>
      <c r="B46" s="4">
        <v>0</v>
      </c>
      <c r="C46" s="4">
        <v>0</v>
      </c>
      <c r="D46" s="4">
        <v>1</v>
      </c>
      <c r="E46" s="4">
        <v>231</v>
      </c>
      <c r="F46" s="4">
        <f>ROUND(Source!BB33,O46)</f>
        <v>0</v>
      </c>
      <c r="G46" s="4" t="s">
        <v>60</v>
      </c>
      <c r="H46" s="4" t="s">
        <v>61</v>
      </c>
      <c r="I46" s="4"/>
      <c r="J46" s="4"/>
      <c r="K46" s="4">
        <v>231</v>
      </c>
      <c r="L46" s="4">
        <v>12</v>
      </c>
      <c r="M46" s="4">
        <v>3</v>
      </c>
      <c r="N46" s="4" t="s">
        <v>4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06" x14ac:dyDescent="0.25">
      <c r="A47" s="4">
        <v>50</v>
      </c>
      <c r="B47" s="4">
        <v>0</v>
      </c>
      <c r="C47" s="4">
        <v>0</v>
      </c>
      <c r="D47" s="4">
        <v>1</v>
      </c>
      <c r="E47" s="4">
        <v>204</v>
      </c>
      <c r="F47" s="4">
        <f>ROUND(Source!R33,O47)</f>
        <v>16390.91</v>
      </c>
      <c r="G47" s="4" t="s">
        <v>62</v>
      </c>
      <c r="H47" s="4" t="s">
        <v>63</v>
      </c>
      <c r="I47" s="4"/>
      <c r="J47" s="4"/>
      <c r="K47" s="4">
        <v>204</v>
      </c>
      <c r="L47" s="4">
        <v>13</v>
      </c>
      <c r="M47" s="4">
        <v>3</v>
      </c>
      <c r="N47" s="4" t="s">
        <v>4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06" x14ac:dyDescent="0.25">
      <c r="A48" s="4">
        <v>50</v>
      </c>
      <c r="B48" s="4">
        <v>0</v>
      </c>
      <c r="C48" s="4">
        <v>0</v>
      </c>
      <c r="D48" s="4">
        <v>1</v>
      </c>
      <c r="E48" s="4">
        <v>205</v>
      </c>
      <c r="F48" s="4">
        <f>ROUND(Source!S33,O48)</f>
        <v>19460.86</v>
      </c>
      <c r="G48" s="4" t="s">
        <v>64</v>
      </c>
      <c r="H48" s="4" t="s">
        <v>65</v>
      </c>
      <c r="I48" s="4"/>
      <c r="J48" s="4"/>
      <c r="K48" s="4">
        <v>205</v>
      </c>
      <c r="L48" s="4">
        <v>14</v>
      </c>
      <c r="M48" s="4">
        <v>3</v>
      </c>
      <c r="N48" s="4" t="s">
        <v>4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88" x14ac:dyDescent="0.25">
      <c r="A49" s="4">
        <v>50</v>
      </c>
      <c r="B49" s="4">
        <v>0</v>
      </c>
      <c r="C49" s="4">
        <v>0</v>
      </c>
      <c r="D49" s="4">
        <v>1</v>
      </c>
      <c r="E49" s="4">
        <v>232</v>
      </c>
      <c r="F49" s="4">
        <f>ROUND(Source!BC33,O49)</f>
        <v>0</v>
      </c>
      <c r="G49" s="4" t="s">
        <v>66</v>
      </c>
      <c r="H49" s="4" t="s">
        <v>67</v>
      </c>
      <c r="I49" s="4"/>
      <c r="J49" s="4"/>
      <c r="K49" s="4">
        <v>232</v>
      </c>
      <c r="L49" s="4">
        <v>15</v>
      </c>
      <c r="M49" s="4">
        <v>3</v>
      </c>
      <c r="N49" s="4" t="s">
        <v>4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88" x14ac:dyDescent="0.25">
      <c r="A50" s="4">
        <v>50</v>
      </c>
      <c r="B50" s="4">
        <v>0</v>
      </c>
      <c r="C50" s="4">
        <v>0</v>
      </c>
      <c r="D50" s="4">
        <v>1</v>
      </c>
      <c r="E50" s="4">
        <v>214</v>
      </c>
      <c r="F50" s="4">
        <f>ROUND(Source!AS33,O50)</f>
        <v>0</v>
      </c>
      <c r="G50" s="4" t="s">
        <v>68</v>
      </c>
      <c r="H50" s="4" t="s">
        <v>69</v>
      </c>
      <c r="I50" s="4"/>
      <c r="J50" s="4"/>
      <c r="K50" s="4">
        <v>214</v>
      </c>
      <c r="L50" s="4">
        <v>16</v>
      </c>
      <c r="M50" s="4">
        <v>3</v>
      </c>
      <c r="N50" s="4" t="s">
        <v>4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88" x14ac:dyDescent="0.25">
      <c r="A51" s="4">
        <v>50</v>
      </c>
      <c r="B51" s="4">
        <v>0</v>
      </c>
      <c r="C51" s="4">
        <v>0</v>
      </c>
      <c r="D51" s="4">
        <v>1</v>
      </c>
      <c r="E51" s="4">
        <v>215</v>
      </c>
      <c r="F51" s="4">
        <f>ROUND(Source!AT33,O51)</f>
        <v>106901.25</v>
      </c>
      <c r="G51" s="4" t="s">
        <v>70</v>
      </c>
      <c r="H51" s="4" t="s">
        <v>71</v>
      </c>
      <c r="I51" s="4"/>
      <c r="J51" s="4"/>
      <c r="K51" s="4">
        <v>215</v>
      </c>
      <c r="L51" s="4">
        <v>17</v>
      </c>
      <c r="M51" s="4">
        <v>3</v>
      </c>
      <c r="N51" s="4" t="s">
        <v>4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88" x14ac:dyDescent="0.25">
      <c r="A52" s="4">
        <v>50</v>
      </c>
      <c r="B52" s="4">
        <v>0</v>
      </c>
      <c r="C52" s="4">
        <v>0</v>
      </c>
      <c r="D52" s="4">
        <v>1</v>
      </c>
      <c r="E52" s="4">
        <v>217</v>
      </c>
      <c r="F52" s="4">
        <f>ROUND(Source!AU33,O52)</f>
        <v>0</v>
      </c>
      <c r="G52" s="4" t="s">
        <v>72</v>
      </c>
      <c r="H52" s="4" t="s">
        <v>73</v>
      </c>
      <c r="I52" s="4"/>
      <c r="J52" s="4"/>
      <c r="K52" s="4">
        <v>217</v>
      </c>
      <c r="L52" s="4">
        <v>18</v>
      </c>
      <c r="M52" s="4">
        <v>3</v>
      </c>
      <c r="N52" s="4" t="s">
        <v>4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88" x14ac:dyDescent="0.25">
      <c r="A53" s="4">
        <v>50</v>
      </c>
      <c r="B53" s="4">
        <v>0</v>
      </c>
      <c r="C53" s="4">
        <v>0</v>
      </c>
      <c r="D53" s="4">
        <v>1</v>
      </c>
      <c r="E53" s="4">
        <v>230</v>
      </c>
      <c r="F53" s="4">
        <f>ROUND(Source!BA33,O53)</f>
        <v>0</v>
      </c>
      <c r="G53" s="4" t="s">
        <v>74</v>
      </c>
      <c r="H53" s="4" t="s">
        <v>75</v>
      </c>
      <c r="I53" s="4"/>
      <c r="J53" s="4"/>
      <c r="K53" s="4">
        <v>230</v>
      </c>
      <c r="L53" s="4">
        <v>19</v>
      </c>
      <c r="M53" s="4">
        <v>3</v>
      </c>
      <c r="N53" s="4" t="s">
        <v>4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88" x14ac:dyDescent="0.25">
      <c r="A54" s="4">
        <v>50</v>
      </c>
      <c r="B54" s="4">
        <v>0</v>
      </c>
      <c r="C54" s="4">
        <v>0</v>
      </c>
      <c r="D54" s="4">
        <v>1</v>
      </c>
      <c r="E54" s="4">
        <v>206</v>
      </c>
      <c r="F54" s="4">
        <f>ROUND(Source!T33,O54)</f>
        <v>0</v>
      </c>
      <c r="G54" s="4" t="s">
        <v>76</v>
      </c>
      <c r="H54" s="4" t="s">
        <v>77</v>
      </c>
      <c r="I54" s="4"/>
      <c r="J54" s="4"/>
      <c r="K54" s="4">
        <v>206</v>
      </c>
      <c r="L54" s="4">
        <v>20</v>
      </c>
      <c r="M54" s="4">
        <v>3</v>
      </c>
      <c r="N54" s="4" t="s">
        <v>4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88" x14ac:dyDescent="0.25">
      <c r="A55" s="4">
        <v>50</v>
      </c>
      <c r="B55" s="4">
        <v>0</v>
      </c>
      <c r="C55" s="4">
        <v>0</v>
      </c>
      <c r="D55" s="4">
        <v>1</v>
      </c>
      <c r="E55" s="4">
        <v>207</v>
      </c>
      <c r="F55" s="4">
        <f>ROUND(Source!U33,O55)</f>
        <v>61.36</v>
      </c>
      <c r="G55" s="4" t="s">
        <v>78</v>
      </c>
      <c r="H55" s="4" t="s">
        <v>79</v>
      </c>
      <c r="I55" s="4"/>
      <c r="J55" s="4"/>
      <c r="K55" s="4">
        <v>207</v>
      </c>
      <c r="L55" s="4">
        <v>21</v>
      </c>
      <c r="M55" s="4">
        <v>3</v>
      </c>
      <c r="N55" s="4" t="s">
        <v>4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88" x14ac:dyDescent="0.25">
      <c r="A56" s="4">
        <v>50</v>
      </c>
      <c r="B56" s="4">
        <v>0</v>
      </c>
      <c r="C56" s="4">
        <v>0</v>
      </c>
      <c r="D56" s="4">
        <v>1</v>
      </c>
      <c r="E56" s="4">
        <v>208</v>
      </c>
      <c r="F56" s="4">
        <f>ROUND(Source!V33,O56)</f>
        <v>0</v>
      </c>
      <c r="G56" s="4" t="s">
        <v>80</v>
      </c>
      <c r="H56" s="4" t="s">
        <v>81</v>
      </c>
      <c r="I56" s="4"/>
      <c r="J56" s="4"/>
      <c r="K56" s="4">
        <v>208</v>
      </c>
      <c r="L56" s="4">
        <v>22</v>
      </c>
      <c r="M56" s="4">
        <v>3</v>
      </c>
      <c r="N56" s="4" t="s">
        <v>4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88" x14ac:dyDescent="0.25">
      <c r="A57" s="4">
        <v>50</v>
      </c>
      <c r="B57" s="4">
        <v>0</v>
      </c>
      <c r="C57" s="4">
        <v>0</v>
      </c>
      <c r="D57" s="4">
        <v>1</v>
      </c>
      <c r="E57" s="4">
        <v>209</v>
      </c>
      <c r="F57" s="4">
        <f>ROUND(Source!W33,O57)</f>
        <v>0</v>
      </c>
      <c r="G57" s="4" t="s">
        <v>82</v>
      </c>
      <c r="H57" s="4" t="s">
        <v>83</v>
      </c>
      <c r="I57" s="4"/>
      <c r="J57" s="4"/>
      <c r="K57" s="4">
        <v>209</v>
      </c>
      <c r="L57" s="4">
        <v>23</v>
      </c>
      <c r="M57" s="4">
        <v>3</v>
      </c>
      <c r="N57" s="4" t="s">
        <v>4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88" x14ac:dyDescent="0.25">
      <c r="A58" s="4">
        <v>50</v>
      </c>
      <c r="B58" s="4">
        <v>0</v>
      </c>
      <c r="C58" s="4">
        <v>0</v>
      </c>
      <c r="D58" s="4">
        <v>1</v>
      </c>
      <c r="E58" s="4">
        <v>233</v>
      </c>
      <c r="F58" s="4">
        <f>ROUND(Source!BD33,O58)</f>
        <v>0</v>
      </c>
      <c r="G58" s="4" t="s">
        <v>84</v>
      </c>
      <c r="H58" s="4" t="s">
        <v>85</v>
      </c>
      <c r="I58" s="4"/>
      <c r="J58" s="4"/>
      <c r="K58" s="4">
        <v>233</v>
      </c>
      <c r="L58" s="4">
        <v>24</v>
      </c>
      <c r="M58" s="4">
        <v>3</v>
      </c>
      <c r="N58" s="4" t="s">
        <v>4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88" x14ac:dyDescent="0.25">
      <c r="A59" s="4">
        <v>50</v>
      </c>
      <c r="B59" s="4">
        <v>0</v>
      </c>
      <c r="C59" s="4">
        <v>0</v>
      </c>
      <c r="D59" s="4">
        <v>1</v>
      </c>
      <c r="E59" s="4">
        <v>210</v>
      </c>
      <c r="F59" s="4">
        <f>ROUND(Source!X33,O59)</f>
        <v>17514.77</v>
      </c>
      <c r="G59" s="4" t="s">
        <v>86</v>
      </c>
      <c r="H59" s="4" t="s">
        <v>87</v>
      </c>
      <c r="I59" s="4"/>
      <c r="J59" s="4"/>
      <c r="K59" s="4">
        <v>210</v>
      </c>
      <c r="L59" s="4">
        <v>25</v>
      </c>
      <c r="M59" s="4">
        <v>3</v>
      </c>
      <c r="N59" s="4" t="s">
        <v>4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88" x14ac:dyDescent="0.25">
      <c r="A60" s="4">
        <v>50</v>
      </c>
      <c r="B60" s="4">
        <v>0</v>
      </c>
      <c r="C60" s="4">
        <v>0</v>
      </c>
      <c r="D60" s="4">
        <v>1</v>
      </c>
      <c r="E60" s="4">
        <v>211</v>
      </c>
      <c r="F60" s="4">
        <f>ROUND(Source!Y33,O60)</f>
        <v>8368.17</v>
      </c>
      <c r="G60" s="4" t="s">
        <v>88</v>
      </c>
      <c r="H60" s="4" t="s">
        <v>89</v>
      </c>
      <c r="I60" s="4"/>
      <c r="J60" s="4"/>
      <c r="K60" s="4">
        <v>211</v>
      </c>
      <c r="L60" s="4">
        <v>26</v>
      </c>
      <c r="M60" s="4">
        <v>3</v>
      </c>
      <c r="N60" s="4" t="s">
        <v>4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88" x14ac:dyDescent="0.25">
      <c r="A61" s="4">
        <v>50</v>
      </c>
      <c r="B61" s="4">
        <v>0</v>
      </c>
      <c r="C61" s="4">
        <v>0</v>
      </c>
      <c r="D61" s="4">
        <v>1</v>
      </c>
      <c r="E61" s="4">
        <v>224</v>
      </c>
      <c r="F61" s="4">
        <f>ROUND(Source!AR33,O61)</f>
        <v>106901.25</v>
      </c>
      <c r="G61" s="4" t="s">
        <v>90</v>
      </c>
      <c r="H61" s="4" t="s">
        <v>91</v>
      </c>
      <c r="I61" s="4"/>
      <c r="J61" s="4"/>
      <c r="K61" s="4">
        <v>224</v>
      </c>
      <c r="L61" s="4">
        <v>27</v>
      </c>
      <c r="M61" s="4">
        <v>3</v>
      </c>
      <c r="N61" s="4" t="s">
        <v>4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3" spans="1:88" x14ac:dyDescent="0.25">
      <c r="A63" s="1">
        <v>4</v>
      </c>
      <c r="B63" s="1">
        <v>1</v>
      </c>
      <c r="C63" s="1"/>
      <c r="D63" s="1">
        <f>ROW(A71)</f>
        <v>71</v>
      </c>
      <c r="E63" s="1"/>
      <c r="F63" s="1" t="s">
        <v>4</v>
      </c>
      <c r="G63" s="1" t="s">
        <v>92</v>
      </c>
      <c r="H63" s="1" t="s">
        <v>4</v>
      </c>
      <c r="I63" s="1">
        <v>0</v>
      </c>
      <c r="J63" s="1"/>
      <c r="K63" s="1">
        <v>-1</v>
      </c>
      <c r="L63" s="1"/>
      <c r="M63" s="1"/>
      <c r="N63" s="1"/>
      <c r="O63" s="1"/>
      <c r="P63" s="1"/>
      <c r="Q63" s="1"/>
      <c r="R63" s="1"/>
      <c r="S63" s="1"/>
      <c r="T63" s="1"/>
      <c r="U63" s="1" t="s">
        <v>4</v>
      </c>
      <c r="V63" s="1">
        <v>0</v>
      </c>
      <c r="W63" s="1"/>
      <c r="X63" s="1"/>
      <c r="Y63" s="1"/>
      <c r="Z63" s="1"/>
      <c r="AA63" s="1"/>
      <c r="AB63" s="1" t="s">
        <v>4</v>
      </c>
      <c r="AC63" s="1" t="s">
        <v>4</v>
      </c>
      <c r="AD63" s="1" t="s">
        <v>4</v>
      </c>
      <c r="AE63" s="1" t="s">
        <v>4</v>
      </c>
      <c r="AF63" s="1" t="s">
        <v>4</v>
      </c>
      <c r="AG63" s="1" t="s">
        <v>4</v>
      </c>
      <c r="AH63" s="1"/>
      <c r="AI63" s="1"/>
      <c r="AJ63" s="1"/>
      <c r="AK63" s="1"/>
      <c r="AL63" s="1"/>
      <c r="AM63" s="1"/>
      <c r="AN63" s="1"/>
      <c r="AO63" s="1"/>
      <c r="AP63" s="1" t="s">
        <v>4</v>
      </c>
      <c r="AQ63" s="1" t="s">
        <v>4</v>
      </c>
      <c r="AR63" s="1" t="s">
        <v>4</v>
      </c>
      <c r="AS63" s="1"/>
      <c r="AT63" s="1"/>
      <c r="AU63" s="1"/>
      <c r="AV63" s="1"/>
      <c r="AW63" s="1"/>
      <c r="AX63" s="1"/>
      <c r="AY63" s="1"/>
      <c r="AZ63" s="1" t="s">
        <v>4</v>
      </c>
      <c r="BA63" s="1"/>
      <c r="BB63" s="1" t="s">
        <v>4</v>
      </c>
      <c r="BC63" s="1" t="s">
        <v>4</v>
      </c>
      <c r="BD63" s="1" t="s">
        <v>4</v>
      </c>
      <c r="BE63" s="1" t="s">
        <v>4</v>
      </c>
      <c r="BF63" s="1" t="s">
        <v>4</v>
      </c>
      <c r="BG63" s="1" t="s">
        <v>4</v>
      </c>
      <c r="BH63" s="1" t="s">
        <v>4</v>
      </c>
      <c r="BI63" s="1" t="s">
        <v>4</v>
      </c>
      <c r="BJ63" s="1" t="s">
        <v>4</v>
      </c>
      <c r="BK63" s="1" t="s">
        <v>4</v>
      </c>
      <c r="BL63" s="1" t="s">
        <v>4</v>
      </c>
      <c r="BM63" s="1" t="s">
        <v>4</v>
      </c>
      <c r="BN63" s="1" t="s">
        <v>4</v>
      </c>
      <c r="BO63" s="1" t="s">
        <v>4</v>
      </c>
      <c r="BP63" s="1" t="s">
        <v>4</v>
      </c>
      <c r="BQ63" s="1"/>
      <c r="BR63" s="1"/>
      <c r="BS63" s="1"/>
      <c r="BT63" s="1"/>
      <c r="BU63" s="1"/>
      <c r="BV63" s="1"/>
      <c r="BW63" s="1"/>
      <c r="BX63" s="1">
        <v>0</v>
      </c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>
        <v>0</v>
      </c>
    </row>
    <row r="65" spans="1:245" x14ac:dyDescent="0.25">
      <c r="A65" s="2">
        <v>52</v>
      </c>
      <c r="B65" s="2">
        <f t="shared" ref="B65:G65" si="25">B71</f>
        <v>1</v>
      </c>
      <c r="C65" s="2">
        <f t="shared" si="25"/>
        <v>4</v>
      </c>
      <c r="D65" s="2">
        <f t="shared" si="25"/>
        <v>63</v>
      </c>
      <c r="E65" s="2">
        <f t="shared" si="25"/>
        <v>0</v>
      </c>
      <c r="F65" s="2" t="str">
        <f t="shared" si="25"/>
        <v/>
      </c>
      <c r="G65" s="2" t="str">
        <f t="shared" si="25"/>
        <v>Оборудование</v>
      </c>
      <c r="H65" s="2"/>
      <c r="I65" s="2"/>
      <c r="J65" s="2"/>
      <c r="K65" s="2"/>
      <c r="L65" s="2"/>
      <c r="M65" s="2"/>
      <c r="N65" s="2"/>
      <c r="O65" s="2">
        <f t="shared" ref="O65:AT65" si="26">O71</f>
        <v>2768458.82</v>
      </c>
      <c r="P65" s="2">
        <f t="shared" si="26"/>
        <v>2768458.82</v>
      </c>
      <c r="Q65" s="2">
        <f t="shared" si="26"/>
        <v>0</v>
      </c>
      <c r="R65" s="2">
        <f t="shared" si="26"/>
        <v>0</v>
      </c>
      <c r="S65" s="2">
        <f t="shared" si="26"/>
        <v>0</v>
      </c>
      <c r="T65" s="2">
        <f t="shared" si="26"/>
        <v>0</v>
      </c>
      <c r="U65" s="2">
        <f t="shared" si="26"/>
        <v>0</v>
      </c>
      <c r="V65" s="2">
        <f t="shared" si="26"/>
        <v>0</v>
      </c>
      <c r="W65" s="2">
        <f t="shared" si="26"/>
        <v>0</v>
      </c>
      <c r="X65" s="2">
        <f t="shared" si="26"/>
        <v>0</v>
      </c>
      <c r="Y65" s="2">
        <f t="shared" si="26"/>
        <v>0</v>
      </c>
      <c r="Z65" s="2">
        <f t="shared" si="26"/>
        <v>0</v>
      </c>
      <c r="AA65" s="2">
        <f t="shared" si="26"/>
        <v>0</v>
      </c>
      <c r="AB65" s="2">
        <f t="shared" si="26"/>
        <v>2768458.82</v>
      </c>
      <c r="AC65" s="2">
        <f t="shared" si="26"/>
        <v>2768458.82</v>
      </c>
      <c r="AD65" s="2">
        <f t="shared" si="26"/>
        <v>0</v>
      </c>
      <c r="AE65" s="2">
        <f t="shared" si="26"/>
        <v>0</v>
      </c>
      <c r="AF65" s="2">
        <f t="shared" si="26"/>
        <v>0</v>
      </c>
      <c r="AG65" s="2">
        <f t="shared" si="26"/>
        <v>0</v>
      </c>
      <c r="AH65" s="2">
        <f t="shared" si="26"/>
        <v>0</v>
      </c>
      <c r="AI65" s="2">
        <f t="shared" si="26"/>
        <v>0</v>
      </c>
      <c r="AJ65" s="2">
        <f t="shared" si="26"/>
        <v>0</v>
      </c>
      <c r="AK65" s="2">
        <f t="shared" si="26"/>
        <v>0</v>
      </c>
      <c r="AL65" s="2">
        <f t="shared" si="26"/>
        <v>0</v>
      </c>
      <c r="AM65" s="2">
        <f t="shared" si="26"/>
        <v>0</v>
      </c>
      <c r="AN65" s="2">
        <f t="shared" si="26"/>
        <v>0</v>
      </c>
      <c r="AO65" s="2">
        <f t="shared" si="26"/>
        <v>0</v>
      </c>
      <c r="AP65" s="2">
        <f t="shared" si="26"/>
        <v>2768458.82</v>
      </c>
      <c r="AQ65" s="2">
        <f t="shared" si="26"/>
        <v>0</v>
      </c>
      <c r="AR65" s="2">
        <f t="shared" si="26"/>
        <v>2768458.82</v>
      </c>
      <c r="AS65" s="2">
        <f t="shared" si="26"/>
        <v>0</v>
      </c>
      <c r="AT65" s="2">
        <f t="shared" si="26"/>
        <v>0</v>
      </c>
      <c r="AU65" s="2">
        <f t="shared" ref="AU65:BZ65" si="27">AU71</f>
        <v>0</v>
      </c>
      <c r="AV65" s="2">
        <f t="shared" si="27"/>
        <v>2768458.82</v>
      </c>
      <c r="AW65" s="2">
        <f t="shared" si="27"/>
        <v>0</v>
      </c>
      <c r="AX65" s="2">
        <f t="shared" si="27"/>
        <v>0</v>
      </c>
      <c r="AY65" s="2">
        <f t="shared" si="27"/>
        <v>0</v>
      </c>
      <c r="AZ65" s="2">
        <f t="shared" si="27"/>
        <v>2768458.82</v>
      </c>
      <c r="BA65" s="2">
        <f t="shared" si="27"/>
        <v>0</v>
      </c>
      <c r="BB65" s="2">
        <f t="shared" si="27"/>
        <v>0</v>
      </c>
      <c r="BC65" s="2">
        <f t="shared" si="27"/>
        <v>0</v>
      </c>
      <c r="BD65" s="2">
        <f t="shared" si="27"/>
        <v>0</v>
      </c>
      <c r="BE65" s="2">
        <f t="shared" si="27"/>
        <v>0</v>
      </c>
      <c r="BF65" s="2">
        <f t="shared" si="27"/>
        <v>0</v>
      </c>
      <c r="BG65" s="2">
        <f t="shared" si="27"/>
        <v>0</v>
      </c>
      <c r="BH65" s="2">
        <f t="shared" si="27"/>
        <v>0</v>
      </c>
      <c r="BI65" s="2">
        <f t="shared" si="27"/>
        <v>0</v>
      </c>
      <c r="BJ65" s="2">
        <f t="shared" si="27"/>
        <v>0</v>
      </c>
      <c r="BK65" s="2">
        <f t="shared" si="27"/>
        <v>0</v>
      </c>
      <c r="BL65" s="2">
        <f t="shared" si="27"/>
        <v>0</v>
      </c>
      <c r="BM65" s="2">
        <f t="shared" si="27"/>
        <v>0</v>
      </c>
      <c r="BN65" s="2">
        <f t="shared" si="27"/>
        <v>0</v>
      </c>
      <c r="BO65" s="2">
        <f t="shared" si="27"/>
        <v>0</v>
      </c>
      <c r="BP65" s="2">
        <f t="shared" si="27"/>
        <v>0</v>
      </c>
      <c r="BQ65" s="2">
        <f t="shared" si="27"/>
        <v>0</v>
      </c>
      <c r="BR65" s="2">
        <f t="shared" si="27"/>
        <v>0</v>
      </c>
      <c r="BS65" s="2">
        <f t="shared" si="27"/>
        <v>0</v>
      </c>
      <c r="BT65" s="2">
        <f t="shared" si="27"/>
        <v>0</v>
      </c>
      <c r="BU65" s="2">
        <f t="shared" si="27"/>
        <v>0</v>
      </c>
      <c r="BV65" s="2">
        <f t="shared" si="27"/>
        <v>0</v>
      </c>
      <c r="BW65" s="2">
        <f t="shared" si="27"/>
        <v>0</v>
      </c>
      <c r="BX65" s="2">
        <f t="shared" si="27"/>
        <v>0</v>
      </c>
      <c r="BY65" s="2">
        <f t="shared" si="27"/>
        <v>2768458.82</v>
      </c>
      <c r="BZ65" s="2">
        <f t="shared" si="27"/>
        <v>0</v>
      </c>
      <c r="CA65" s="2">
        <f t="shared" ref="CA65:DF65" si="28">CA71</f>
        <v>2768458.82</v>
      </c>
      <c r="CB65" s="2">
        <f t="shared" si="28"/>
        <v>0</v>
      </c>
      <c r="CC65" s="2">
        <f t="shared" si="28"/>
        <v>0</v>
      </c>
      <c r="CD65" s="2">
        <f t="shared" si="28"/>
        <v>0</v>
      </c>
      <c r="CE65" s="2">
        <f t="shared" si="28"/>
        <v>2768458.82</v>
      </c>
      <c r="CF65" s="2">
        <f t="shared" si="28"/>
        <v>0</v>
      </c>
      <c r="CG65" s="2">
        <f t="shared" si="28"/>
        <v>0</v>
      </c>
      <c r="CH65" s="2">
        <f t="shared" si="28"/>
        <v>0</v>
      </c>
      <c r="CI65" s="2">
        <f t="shared" si="28"/>
        <v>2768458.82</v>
      </c>
      <c r="CJ65" s="2">
        <f t="shared" si="28"/>
        <v>0</v>
      </c>
      <c r="CK65" s="2">
        <f t="shared" si="28"/>
        <v>0</v>
      </c>
      <c r="CL65" s="2">
        <f t="shared" si="28"/>
        <v>0</v>
      </c>
      <c r="CM65" s="2">
        <f t="shared" si="28"/>
        <v>0</v>
      </c>
      <c r="CN65" s="2">
        <f t="shared" si="28"/>
        <v>0</v>
      </c>
      <c r="CO65" s="2">
        <f t="shared" si="28"/>
        <v>0</v>
      </c>
      <c r="CP65" s="2">
        <f t="shared" si="28"/>
        <v>0</v>
      </c>
      <c r="CQ65" s="2">
        <f t="shared" si="28"/>
        <v>0</v>
      </c>
      <c r="CR65" s="2">
        <f t="shared" si="28"/>
        <v>0</v>
      </c>
      <c r="CS65" s="2">
        <f t="shared" si="28"/>
        <v>0</v>
      </c>
      <c r="CT65" s="2">
        <f t="shared" si="28"/>
        <v>0</v>
      </c>
      <c r="CU65" s="2">
        <f t="shared" si="28"/>
        <v>0</v>
      </c>
      <c r="CV65" s="2">
        <f t="shared" si="28"/>
        <v>0</v>
      </c>
      <c r="CW65" s="2">
        <f t="shared" si="28"/>
        <v>0</v>
      </c>
      <c r="CX65" s="2">
        <f t="shared" si="28"/>
        <v>0</v>
      </c>
      <c r="CY65" s="2">
        <f t="shared" si="28"/>
        <v>0</v>
      </c>
      <c r="CZ65" s="2">
        <f t="shared" si="28"/>
        <v>0</v>
      </c>
      <c r="DA65" s="2">
        <f t="shared" si="28"/>
        <v>0</v>
      </c>
      <c r="DB65" s="2">
        <f t="shared" si="28"/>
        <v>0</v>
      </c>
      <c r="DC65" s="2">
        <f t="shared" si="28"/>
        <v>0</v>
      </c>
      <c r="DD65" s="2">
        <f t="shared" si="28"/>
        <v>0</v>
      </c>
      <c r="DE65" s="2">
        <f t="shared" si="28"/>
        <v>0</v>
      </c>
      <c r="DF65" s="2">
        <f t="shared" si="28"/>
        <v>0</v>
      </c>
      <c r="DG65" s="3">
        <f t="shared" ref="DG65:EL65" si="29">DG71</f>
        <v>0</v>
      </c>
      <c r="DH65" s="3">
        <f t="shared" si="29"/>
        <v>0</v>
      </c>
      <c r="DI65" s="3">
        <f t="shared" si="29"/>
        <v>0</v>
      </c>
      <c r="DJ65" s="3">
        <f t="shared" si="29"/>
        <v>0</v>
      </c>
      <c r="DK65" s="3">
        <f t="shared" si="29"/>
        <v>0</v>
      </c>
      <c r="DL65" s="3">
        <f t="shared" si="29"/>
        <v>0</v>
      </c>
      <c r="DM65" s="3">
        <f t="shared" si="29"/>
        <v>0</v>
      </c>
      <c r="DN65" s="3">
        <f t="shared" si="29"/>
        <v>0</v>
      </c>
      <c r="DO65" s="3">
        <f t="shared" si="29"/>
        <v>0</v>
      </c>
      <c r="DP65" s="3">
        <f t="shared" si="29"/>
        <v>0</v>
      </c>
      <c r="DQ65" s="3">
        <f t="shared" si="29"/>
        <v>0</v>
      </c>
      <c r="DR65" s="3">
        <f t="shared" si="29"/>
        <v>0</v>
      </c>
      <c r="DS65" s="3">
        <f t="shared" si="29"/>
        <v>0</v>
      </c>
      <c r="DT65" s="3">
        <f t="shared" si="29"/>
        <v>0</v>
      </c>
      <c r="DU65" s="3">
        <f t="shared" si="29"/>
        <v>0</v>
      </c>
      <c r="DV65" s="3">
        <f t="shared" si="29"/>
        <v>0</v>
      </c>
      <c r="DW65" s="3">
        <f t="shared" si="29"/>
        <v>0</v>
      </c>
      <c r="DX65" s="3">
        <f t="shared" si="29"/>
        <v>0</v>
      </c>
      <c r="DY65" s="3">
        <f t="shared" si="29"/>
        <v>0</v>
      </c>
      <c r="DZ65" s="3">
        <f t="shared" si="29"/>
        <v>0</v>
      </c>
      <c r="EA65" s="3">
        <f t="shared" si="29"/>
        <v>0</v>
      </c>
      <c r="EB65" s="3">
        <f t="shared" si="29"/>
        <v>0</v>
      </c>
      <c r="EC65" s="3">
        <f t="shared" si="29"/>
        <v>0</v>
      </c>
      <c r="ED65" s="3">
        <f t="shared" si="29"/>
        <v>0</v>
      </c>
      <c r="EE65" s="3">
        <f t="shared" si="29"/>
        <v>0</v>
      </c>
      <c r="EF65" s="3">
        <f t="shared" si="29"/>
        <v>0</v>
      </c>
      <c r="EG65" s="3">
        <f t="shared" si="29"/>
        <v>0</v>
      </c>
      <c r="EH65" s="3">
        <f t="shared" si="29"/>
        <v>0</v>
      </c>
      <c r="EI65" s="3">
        <f t="shared" si="29"/>
        <v>0</v>
      </c>
      <c r="EJ65" s="3">
        <f t="shared" si="29"/>
        <v>0</v>
      </c>
      <c r="EK65" s="3">
        <f t="shared" si="29"/>
        <v>0</v>
      </c>
      <c r="EL65" s="3">
        <f t="shared" si="29"/>
        <v>0</v>
      </c>
      <c r="EM65" s="3">
        <f t="shared" ref="EM65:FR65" si="30">EM71</f>
        <v>0</v>
      </c>
      <c r="EN65" s="3">
        <f t="shared" si="30"/>
        <v>0</v>
      </c>
      <c r="EO65" s="3">
        <f t="shared" si="30"/>
        <v>0</v>
      </c>
      <c r="EP65" s="3">
        <f t="shared" si="30"/>
        <v>0</v>
      </c>
      <c r="EQ65" s="3">
        <f t="shared" si="30"/>
        <v>0</v>
      </c>
      <c r="ER65" s="3">
        <f t="shared" si="30"/>
        <v>0</v>
      </c>
      <c r="ES65" s="3">
        <f t="shared" si="30"/>
        <v>0</v>
      </c>
      <c r="ET65" s="3">
        <f t="shared" si="30"/>
        <v>0</v>
      </c>
      <c r="EU65" s="3">
        <f t="shared" si="30"/>
        <v>0</v>
      </c>
      <c r="EV65" s="3">
        <f t="shared" si="30"/>
        <v>0</v>
      </c>
      <c r="EW65" s="3">
        <f t="shared" si="30"/>
        <v>0</v>
      </c>
      <c r="EX65" s="3">
        <f t="shared" si="30"/>
        <v>0</v>
      </c>
      <c r="EY65" s="3">
        <f t="shared" si="30"/>
        <v>0</v>
      </c>
      <c r="EZ65" s="3">
        <f t="shared" si="30"/>
        <v>0</v>
      </c>
      <c r="FA65" s="3">
        <f t="shared" si="30"/>
        <v>0</v>
      </c>
      <c r="FB65" s="3">
        <f t="shared" si="30"/>
        <v>0</v>
      </c>
      <c r="FC65" s="3">
        <f t="shared" si="30"/>
        <v>0</v>
      </c>
      <c r="FD65" s="3">
        <f t="shared" si="30"/>
        <v>0</v>
      </c>
      <c r="FE65" s="3">
        <f t="shared" si="30"/>
        <v>0</v>
      </c>
      <c r="FF65" s="3">
        <f t="shared" si="30"/>
        <v>0</v>
      </c>
      <c r="FG65" s="3">
        <f t="shared" si="30"/>
        <v>0</v>
      </c>
      <c r="FH65" s="3">
        <f t="shared" si="30"/>
        <v>0</v>
      </c>
      <c r="FI65" s="3">
        <f t="shared" si="30"/>
        <v>0</v>
      </c>
      <c r="FJ65" s="3">
        <f t="shared" si="30"/>
        <v>0</v>
      </c>
      <c r="FK65" s="3">
        <f t="shared" si="30"/>
        <v>0</v>
      </c>
      <c r="FL65" s="3">
        <f t="shared" si="30"/>
        <v>0</v>
      </c>
      <c r="FM65" s="3">
        <f t="shared" si="30"/>
        <v>0</v>
      </c>
      <c r="FN65" s="3">
        <f t="shared" si="30"/>
        <v>0</v>
      </c>
      <c r="FO65" s="3">
        <f t="shared" si="30"/>
        <v>0</v>
      </c>
      <c r="FP65" s="3">
        <f t="shared" si="30"/>
        <v>0</v>
      </c>
      <c r="FQ65" s="3">
        <f t="shared" si="30"/>
        <v>0</v>
      </c>
      <c r="FR65" s="3">
        <f t="shared" si="30"/>
        <v>0</v>
      </c>
      <c r="FS65" s="3">
        <f t="shared" ref="FS65:GX65" si="31">FS71</f>
        <v>0</v>
      </c>
      <c r="FT65" s="3">
        <f t="shared" si="31"/>
        <v>0</v>
      </c>
      <c r="FU65" s="3">
        <f t="shared" si="31"/>
        <v>0</v>
      </c>
      <c r="FV65" s="3">
        <f t="shared" si="31"/>
        <v>0</v>
      </c>
      <c r="FW65" s="3">
        <f t="shared" si="31"/>
        <v>0</v>
      </c>
      <c r="FX65" s="3">
        <f t="shared" si="31"/>
        <v>0</v>
      </c>
      <c r="FY65" s="3">
        <f t="shared" si="31"/>
        <v>0</v>
      </c>
      <c r="FZ65" s="3">
        <f t="shared" si="31"/>
        <v>0</v>
      </c>
      <c r="GA65" s="3">
        <f t="shared" si="31"/>
        <v>0</v>
      </c>
      <c r="GB65" s="3">
        <f t="shared" si="31"/>
        <v>0</v>
      </c>
      <c r="GC65" s="3">
        <f t="shared" si="31"/>
        <v>0</v>
      </c>
      <c r="GD65" s="3">
        <f t="shared" si="31"/>
        <v>0</v>
      </c>
      <c r="GE65" s="3">
        <f t="shared" si="31"/>
        <v>0</v>
      </c>
      <c r="GF65" s="3">
        <f t="shared" si="31"/>
        <v>0</v>
      </c>
      <c r="GG65" s="3">
        <f t="shared" si="31"/>
        <v>0</v>
      </c>
      <c r="GH65" s="3">
        <f t="shared" si="31"/>
        <v>0</v>
      </c>
      <c r="GI65" s="3">
        <f t="shared" si="31"/>
        <v>0</v>
      </c>
      <c r="GJ65" s="3">
        <f t="shared" si="31"/>
        <v>0</v>
      </c>
      <c r="GK65" s="3">
        <f t="shared" si="31"/>
        <v>0</v>
      </c>
      <c r="GL65" s="3">
        <f t="shared" si="31"/>
        <v>0</v>
      </c>
      <c r="GM65" s="3">
        <f t="shared" si="31"/>
        <v>0</v>
      </c>
      <c r="GN65" s="3">
        <f t="shared" si="31"/>
        <v>0</v>
      </c>
      <c r="GO65" s="3">
        <f t="shared" si="31"/>
        <v>0</v>
      </c>
      <c r="GP65" s="3">
        <f t="shared" si="31"/>
        <v>0</v>
      </c>
      <c r="GQ65" s="3">
        <f t="shared" si="31"/>
        <v>0</v>
      </c>
      <c r="GR65" s="3">
        <f t="shared" si="31"/>
        <v>0</v>
      </c>
      <c r="GS65" s="3">
        <f t="shared" si="31"/>
        <v>0</v>
      </c>
      <c r="GT65" s="3">
        <f t="shared" si="31"/>
        <v>0</v>
      </c>
      <c r="GU65" s="3">
        <f t="shared" si="31"/>
        <v>0</v>
      </c>
      <c r="GV65" s="3">
        <f t="shared" si="31"/>
        <v>0</v>
      </c>
      <c r="GW65" s="3">
        <f t="shared" si="31"/>
        <v>0</v>
      </c>
      <c r="GX65" s="3">
        <f t="shared" si="31"/>
        <v>0</v>
      </c>
    </row>
    <row r="67" spans="1:245" x14ac:dyDescent="0.25">
      <c r="A67">
        <v>17</v>
      </c>
      <c r="B67">
        <v>1</v>
      </c>
      <c r="E67" t="s">
        <v>33</v>
      </c>
      <c r="F67" t="s">
        <v>93</v>
      </c>
      <c r="G67" t="s">
        <v>94</v>
      </c>
      <c r="H67" t="s">
        <v>95</v>
      </c>
      <c r="I67">
        <v>1</v>
      </c>
      <c r="J67">
        <v>0</v>
      </c>
      <c r="O67">
        <f>ROUND(CP67,2)</f>
        <v>2657710.4900000002</v>
      </c>
      <c r="P67">
        <f>ROUND(CQ67*I67,2)</f>
        <v>2657710.4900000002</v>
      </c>
      <c r="Q67">
        <f>ROUND(CR67*I67,2)</f>
        <v>0</v>
      </c>
      <c r="R67">
        <f>ROUND(CS67*I67,2)</f>
        <v>0</v>
      </c>
      <c r="S67">
        <f>ROUND(CT67*I67,2)</f>
        <v>0</v>
      </c>
      <c r="T67">
        <f>ROUND(CU67*I67,2)</f>
        <v>0</v>
      </c>
      <c r="U67">
        <f>CV67*I67</f>
        <v>0</v>
      </c>
      <c r="V67">
        <f>CW67*I67</f>
        <v>0</v>
      </c>
      <c r="W67">
        <f>ROUND(CX67*I67,2)</f>
        <v>0</v>
      </c>
      <c r="X67">
        <f t="shared" ref="X67:Y69" si="32">ROUND(CY67,2)</f>
        <v>0</v>
      </c>
      <c r="Y67">
        <f t="shared" si="32"/>
        <v>0</v>
      </c>
      <c r="AA67">
        <v>40519780</v>
      </c>
      <c r="AB67">
        <f>ROUND((AC67+AD67+AF67),6)</f>
        <v>557172.01</v>
      </c>
      <c r="AC67">
        <f t="shared" ref="AC67:AF69" si="33">ROUND((ES67),6)</f>
        <v>557172.01</v>
      </c>
      <c r="AD67">
        <f t="shared" si="33"/>
        <v>0</v>
      </c>
      <c r="AE67">
        <f t="shared" si="33"/>
        <v>0</v>
      </c>
      <c r="AF67">
        <f t="shared" si="33"/>
        <v>0</v>
      </c>
      <c r="AG67">
        <f>ROUND((AP67),6)</f>
        <v>0</v>
      </c>
      <c r="AH67">
        <f t="shared" ref="AH67:AI69" si="34">(EW67)</f>
        <v>0</v>
      </c>
      <c r="AI67">
        <f t="shared" si="34"/>
        <v>0</v>
      </c>
      <c r="AJ67">
        <f>(AS67)</f>
        <v>0</v>
      </c>
      <c r="AK67">
        <v>557172.01</v>
      </c>
      <c r="AL67">
        <v>557172.01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1</v>
      </c>
      <c r="AW67">
        <v>1</v>
      </c>
      <c r="AZ67">
        <v>1</v>
      </c>
      <c r="BA67">
        <v>1</v>
      </c>
      <c r="BB67">
        <v>1</v>
      </c>
      <c r="BC67">
        <v>4.7699999999999996</v>
      </c>
      <c r="BD67" t="s">
        <v>4</v>
      </c>
      <c r="BE67" t="s">
        <v>4</v>
      </c>
      <c r="BF67" t="s">
        <v>4</v>
      </c>
      <c r="BG67" t="s">
        <v>4</v>
      </c>
      <c r="BH67">
        <v>3</v>
      </c>
      <c r="BI67">
        <v>3</v>
      </c>
      <c r="BJ67" t="s">
        <v>4</v>
      </c>
      <c r="BM67">
        <v>400002</v>
      </c>
      <c r="BN67">
        <v>0</v>
      </c>
      <c r="BO67" t="s">
        <v>4</v>
      </c>
      <c r="BP67">
        <v>0</v>
      </c>
      <c r="BQ67">
        <v>202</v>
      </c>
      <c r="BR67">
        <v>0</v>
      </c>
      <c r="BS67">
        <v>1</v>
      </c>
      <c r="BT67">
        <v>1</v>
      </c>
      <c r="BU67">
        <v>1</v>
      </c>
      <c r="BV67">
        <v>1</v>
      </c>
      <c r="BW67">
        <v>1</v>
      </c>
      <c r="BX67">
        <v>1</v>
      </c>
      <c r="BY67" t="s">
        <v>4</v>
      </c>
      <c r="BZ67">
        <v>0</v>
      </c>
      <c r="CA67">
        <v>0</v>
      </c>
      <c r="CE67">
        <v>0</v>
      </c>
      <c r="CF67">
        <v>0</v>
      </c>
      <c r="CG67">
        <v>0</v>
      </c>
      <c r="CM67">
        <v>0</v>
      </c>
      <c r="CN67" t="s">
        <v>4</v>
      </c>
      <c r="CO67">
        <v>0</v>
      </c>
      <c r="CP67">
        <f>(P67+Q67+S67)</f>
        <v>2657710.4900000002</v>
      </c>
      <c r="CQ67">
        <f>(AC67*BC67*AW67)</f>
        <v>2657710.4876999999</v>
      </c>
      <c r="CR67">
        <f>(AD67*BB67*AV67)</f>
        <v>0</v>
      </c>
      <c r="CS67">
        <f>(AE67*BS67*AV67)</f>
        <v>0</v>
      </c>
      <c r="CT67">
        <f>(AF67*BA67*AV67)</f>
        <v>0</v>
      </c>
      <c r="CU67">
        <f>AG67</f>
        <v>0</v>
      </c>
      <c r="CV67">
        <f>(AH67*AV67)</f>
        <v>0</v>
      </c>
      <c r="CW67">
        <f t="shared" ref="CW67:CX69" si="35">AI67</f>
        <v>0</v>
      </c>
      <c r="CX67">
        <f t="shared" si="35"/>
        <v>0</v>
      </c>
      <c r="CY67">
        <f>S67*(BZ67/100)</f>
        <v>0</v>
      </c>
      <c r="CZ67">
        <f>S67*(CA67/100)</f>
        <v>0</v>
      </c>
      <c r="DC67" t="s">
        <v>4</v>
      </c>
      <c r="DD67" t="s">
        <v>4</v>
      </c>
      <c r="DE67" t="s">
        <v>4</v>
      </c>
      <c r="DF67" t="s">
        <v>4</v>
      </c>
      <c r="DG67" t="s">
        <v>4</v>
      </c>
      <c r="DH67" t="s">
        <v>4</v>
      </c>
      <c r="DI67" t="s">
        <v>4</v>
      </c>
      <c r="DJ67" t="s">
        <v>4</v>
      </c>
      <c r="DK67" t="s">
        <v>4</v>
      </c>
      <c r="DL67" t="s">
        <v>4</v>
      </c>
      <c r="DM67" t="s">
        <v>4</v>
      </c>
      <c r="DN67">
        <v>0</v>
      </c>
      <c r="DO67">
        <v>0</v>
      </c>
      <c r="DP67">
        <v>1</v>
      </c>
      <c r="DQ67">
        <v>1</v>
      </c>
      <c r="DU67">
        <v>1013</v>
      </c>
      <c r="DV67" t="s">
        <v>95</v>
      </c>
      <c r="DW67" t="s">
        <v>95</v>
      </c>
      <c r="DX67">
        <v>1</v>
      </c>
      <c r="EE67">
        <v>37459723</v>
      </c>
      <c r="EF67">
        <v>202</v>
      </c>
      <c r="EG67" t="s">
        <v>96</v>
      </c>
      <c r="EH67">
        <v>0</v>
      </c>
      <c r="EI67" t="s">
        <v>4</v>
      </c>
      <c r="EJ67">
        <v>1</v>
      </c>
      <c r="EK67">
        <v>400002</v>
      </c>
      <c r="EL67" t="s">
        <v>97</v>
      </c>
      <c r="EM67" t="s">
        <v>96</v>
      </c>
      <c r="EO67" t="s">
        <v>4</v>
      </c>
      <c r="EQ67">
        <v>0</v>
      </c>
      <c r="ER67">
        <v>557172.01</v>
      </c>
      <c r="ES67">
        <v>557172.01</v>
      </c>
      <c r="ET67">
        <v>0</v>
      </c>
      <c r="EU67">
        <v>0</v>
      </c>
      <c r="EV67">
        <v>0</v>
      </c>
      <c r="EW67">
        <v>0</v>
      </c>
      <c r="EX67">
        <v>0</v>
      </c>
      <c r="EY67">
        <v>0</v>
      </c>
      <c r="EZ67">
        <v>5</v>
      </c>
      <c r="FC67">
        <v>0</v>
      </c>
      <c r="FD67">
        <v>18</v>
      </c>
      <c r="FF67">
        <v>2549705</v>
      </c>
      <c r="FQ67">
        <v>0</v>
      </c>
      <c r="FR67">
        <f>ROUND(IF(AND(BH67=3,BI67=3),P67,0),2)</f>
        <v>2657710.4900000002</v>
      </c>
      <c r="FS67">
        <v>0</v>
      </c>
      <c r="FX67">
        <v>0</v>
      </c>
      <c r="FY67">
        <v>0</v>
      </c>
      <c r="GA67" t="s">
        <v>98</v>
      </c>
      <c r="GD67">
        <v>0</v>
      </c>
      <c r="GF67">
        <v>1943768686</v>
      </c>
      <c r="GG67">
        <v>2</v>
      </c>
      <c r="GH67">
        <v>3</v>
      </c>
      <c r="GI67">
        <v>3</v>
      </c>
      <c r="GJ67">
        <v>0</v>
      </c>
      <c r="GK67">
        <f>ROUND(R67*(R12)/100,2)</f>
        <v>0</v>
      </c>
      <c r="GL67">
        <f>ROUND(IF(AND(BH67=3,BI67=3,FS67&lt;&gt;0),P67,0),2)</f>
        <v>0</v>
      </c>
      <c r="GM67">
        <f>ROUND(O67+X67+Y67+GK67,2)+GX67</f>
        <v>2657710.4900000002</v>
      </c>
      <c r="GN67">
        <f>IF(OR(BI67=0,BI67=1),ROUND(O67+X67+Y67+GK67,2),0)</f>
        <v>0</v>
      </c>
      <c r="GO67">
        <f>IF(BI67=2,ROUND(O67+X67+Y67+GK67,2),0)</f>
        <v>0</v>
      </c>
      <c r="GP67">
        <f>IF(BI67=4,ROUND(O67+X67+Y67+GK67,2)+GX67,0)</f>
        <v>0</v>
      </c>
      <c r="GR67">
        <v>1</v>
      </c>
      <c r="GS67">
        <v>1</v>
      </c>
      <c r="GT67">
        <v>0</v>
      </c>
      <c r="GU67" t="s">
        <v>4</v>
      </c>
      <c r="GV67">
        <f>ROUND((GT67),6)</f>
        <v>0</v>
      </c>
      <c r="GW67">
        <v>1</v>
      </c>
      <c r="GX67">
        <f>ROUND(HC67*I67,2)</f>
        <v>0</v>
      </c>
      <c r="HA67">
        <v>0</v>
      </c>
      <c r="HB67">
        <v>0</v>
      </c>
      <c r="HC67">
        <f>GV67*GW67</f>
        <v>0</v>
      </c>
      <c r="IK67">
        <v>0</v>
      </c>
    </row>
    <row r="68" spans="1:245" x14ac:dyDescent="0.25">
      <c r="A68">
        <v>17</v>
      </c>
      <c r="B68">
        <v>1</v>
      </c>
      <c r="E68" t="s">
        <v>99</v>
      </c>
      <c r="F68" t="s">
        <v>93</v>
      </c>
      <c r="G68" t="s">
        <v>100</v>
      </c>
      <c r="H68" t="s">
        <v>95</v>
      </c>
      <c r="I68">
        <v>1</v>
      </c>
      <c r="J68">
        <v>0</v>
      </c>
      <c r="O68">
        <f>ROUND(CP68,2)</f>
        <v>82520.19</v>
      </c>
      <c r="P68">
        <f>ROUND(CQ68*I68,2)</f>
        <v>82520.19</v>
      </c>
      <c r="Q68">
        <f>ROUND(CR68*I68,2)</f>
        <v>0</v>
      </c>
      <c r="R68">
        <f>ROUND(CS68*I68,2)</f>
        <v>0</v>
      </c>
      <c r="S68">
        <f>ROUND(CT68*I68,2)</f>
        <v>0</v>
      </c>
      <c r="T68">
        <f>ROUND(CU68*I68,2)</f>
        <v>0</v>
      </c>
      <c r="U68">
        <f>CV68*I68</f>
        <v>0</v>
      </c>
      <c r="V68">
        <f>CW68*I68</f>
        <v>0</v>
      </c>
      <c r="W68">
        <f>ROUND(CX68*I68,2)</f>
        <v>0</v>
      </c>
      <c r="X68">
        <f t="shared" si="32"/>
        <v>0</v>
      </c>
      <c r="Y68">
        <f t="shared" si="32"/>
        <v>0</v>
      </c>
      <c r="AA68">
        <v>40519780</v>
      </c>
      <c r="AB68">
        <f>ROUND((AC68+AD68+AF68),6)</f>
        <v>17299.830000000002</v>
      </c>
      <c r="AC68">
        <f t="shared" si="33"/>
        <v>17299.830000000002</v>
      </c>
      <c r="AD68">
        <f t="shared" si="33"/>
        <v>0</v>
      </c>
      <c r="AE68">
        <f t="shared" si="33"/>
        <v>0</v>
      </c>
      <c r="AF68">
        <f t="shared" si="33"/>
        <v>0</v>
      </c>
      <c r="AG68">
        <f>ROUND((AP68),6)</f>
        <v>0</v>
      </c>
      <c r="AH68">
        <f t="shared" si="34"/>
        <v>0</v>
      </c>
      <c r="AI68">
        <f t="shared" si="34"/>
        <v>0</v>
      </c>
      <c r="AJ68">
        <f>(AS68)</f>
        <v>0</v>
      </c>
      <c r="AK68">
        <v>17299.830000000002</v>
      </c>
      <c r="AL68">
        <v>17299.830000000002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1</v>
      </c>
      <c r="AW68">
        <v>1</v>
      </c>
      <c r="AZ68">
        <v>1</v>
      </c>
      <c r="BA68">
        <v>1</v>
      </c>
      <c r="BB68">
        <v>1</v>
      </c>
      <c r="BC68">
        <v>4.7699999999999996</v>
      </c>
      <c r="BD68" t="s">
        <v>4</v>
      </c>
      <c r="BE68" t="s">
        <v>4</v>
      </c>
      <c r="BF68" t="s">
        <v>4</v>
      </c>
      <c r="BG68" t="s">
        <v>4</v>
      </c>
      <c r="BH68">
        <v>3</v>
      </c>
      <c r="BI68">
        <v>3</v>
      </c>
      <c r="BJ68" t="s">
        <v>4</v>
      </c>
      <c r="BM68">
        <v>400002</v>
      </c>
      <c r="BN68">
        <v>0</v>
      </c>
      <c r="BO68" t="s">
        <v>4</v>
      </c>
      <c r="BP68">
        <v>0</v>
      </c>
      <c r="BQ68">
        <v>202</v>
      </c>
      <c r="BR68">
        <v>0</v>
      </c>
      <c r="BS68">
        <v>1</v>
      </c>
      <c r="BT68">
        <v>1</v>
      </c>
      <c r="BU68">
        <v>1</v>
      </c>
      <c r="BV68">
        <v>1</v>
      </c>
      <c r="BW68">
        <v>1</v>
      </c>
      <c r="BX68">
        <v>1</v>
      </c>
      <c r="BY68" t="s">
        <v>4</v>
      </c>
      <c r="BZ68">
        <v>0</v>
      </c>
      <c r="CA68">
        <v>0</v>
      </c>
      <c r="CE68">
        <v>0</v>
      </c>
      <c r="CF68">
        <v>0</v>
      </c>
      <c r="CG68">
        <v>0</v>
      </c>
      <c r="CM68">
        <v>0</v>
      </c>
      <c r="CN68" t="s">
        <v>4</v>
      </c>
      <c r="CO68">
        <v>0</v>
      </c>
      <c r="CP68">
        <f>(P68+Q68+S68)</f>
        <v>82520.19</v>
      </c>
      <c r="CQ68">
        <f>(AC68*BC68*AW68)</f>
        <v>82520.189100000003</v>
      </c>
      <c r="CR68">
        <f>(AD68*BB68*AV68)</f>
        <v>0</v>
      </c>
      <c r="CS68">
        <f>(AE68*BS68*AV68)</f>
        <v>0</v>
      </c>
      <c r="CT68">
        <f>(AF68*BA68*AV68)</f>
        <v>0</v>
      </c>
      <c r="CU68">
        <f>AG68</f>
        <v>0</v>
      </c>
      <c r="CV68">
        <f>(AH68*AV68)</f>
        <v>0</v>
      </c>
      <c r="CW68">
        <f t="shared" si="35"/>
        <v>0</v>
      </c>
      <c r="CX68">
        <f t="shared" si="35"/>
        <v>0</v>
      </c>
      <c r="CY68">
        <f>S68*(BZ68/100)</f>
        <v>0</v>
      </c>
      <c r="CZ68">
        <f>S68*(CA68/100)</f>
        <v>0</v>
      </c>
      <c r="DC68" t="s">
        <v>4</v>
      </c>
      <c r="DD68" t="s">
        <v>4</v>
      </c>
      <c r="DE68" t="s">
        <v>4</v>
      </c>
      <c r="DF68" t="s">
        <v>4</v>
      </c>
      <c r="DG68" t="s">
        <v>4</v>
      </c>
      <c r="DH68" t="s">
        <v>4</v>
      </c>
      <c r="DI68" t="s">
        <v>4</v>
      </c>
      <c r="DJ68" t="s">
        <v>4</v>
      </c>
      <c r="DK68" t="s">
        <v>4</v>
      </c>
      <c r="DL68" t="s">
        <v>4</v>
      </c>
      <c r="DM68" t="s">
        <v>4</v>
      </c>
      <c r="DN68">
        <v>0</v>
      </c>
      <c r="DO68">
        <v>0</v>
      </c>
      <c r="DP68">
        <v>1</v>
      </c>
      <c r="DQ68">
        <v>1</v>
      </c>
      <c r="DU68">
        <v>1013</v>
      </c>
      <c r="DV68" t="s">
        <v>95</v>
      </c>
      <c r="DW68" t="s">
        <v>95</v>
      </c>
      <c r="DX68">
        <v>1</v>
      </c>
      <c r="EE68">
        <v>37459723</v>
      </c>
      <c r="EF68">
        <v>202</v>
      </c>
      <c r="EG68" t="s">
        <v>96</v>
      </c>
      <c r="EH68">
        <v>0</v>
      </c>
      <c r="EI68" t="s">
        <v>4</v>
      </c>
      <c r="EJ68">
        <v>1</v>
      </c>
      <c r="EK68">
        <v>400002</v>
      </c>
      <c r="EL68" t="s">
        <v>97</v>
      </c>
      <c r="EM68" t="s">
        <v>96</v>
      </c>
      <c r="EO68" t="s">
        <v>4</v>
      </c>
      <c r="EQ68">
        <v>0</v>
      </c>
      <c r="ER68">
        <v>17299.830000000002</v>
      </c>
      <c r="ES68">
        <v>17299.830000000002</v>
      </c>
      <c r="ET68">
        <v>0</v>
      </c>
      <c r="EU68">
        <v>0</v>
      </c>
      <c r="EV68">
        <v>0</v>
      </c>
      <c r="EW68">
        <v>0</v>
      </c>
      <c r="EX68">
        <v>0</v>
      </c>
      <c r="EY68">
        <v>0</v>
      </c>
      <c r="EZ68">
        <v>5</v>
      </c>
      <c r="FC68">
        <v>1</v>
      </c>
      <c r="FD68">
        <v>18</v>
      </c>
      <c r="FF68">
        <v>95000</v>
      </c>
      <c r="FQ68">
        <v>0</v>
      </c>
      <c r="FR68">
        <f>ROUND(IF(AND(BH68=3,BI68=3),P68,0),2)</f>
        <v>82520.19</v>
      </c>
      <c r="FS68">
        <v>0</v>
      </c>
      <c r="FX68">
        <v>0</v>
      </c>
      <c r="FY68">
        <v>0</v>
      </c>
      <c r="GA68" t="s">
        <v>101</v>
      </c>
      <c r="GD68">
        <v>0</v>
      </c>
      <c r="GF68">
        <v>1910394542</v>
      </c>
      <c r="GG68">
        <v>2</v>
      </c>
      <c r="GH68">
        <v>3</v>
      </c>
      <c r="GI68">
        <v>3</v>
      </c>
      <c r="GJ68">
        <v>0</v>
      </c>
      <c r="GK68">
        <f>ROUND(R68*(R12)/100,2)</f>
        <v>0</v>
      </c>
      <c r="GL68">
        <f>ROUND(IF(AND(BH68=3,BI68=3,FS68&lt;&gt;0),P68,0),2)</f>
        <v>0</v>
      </c>
      <c r="GM68">
        <f>ROUND(O68+X68+Y68+GK68,2)+GX68</f>
        <v>82520.19</v>
      </c>
      <c r="GN68">
        <f>IF(OR(BI68=0,BI68=1),ROUND(O68+X68+Y68+GK68,2),0)</f>
        <v>0</v>
      </c>
      <c r="GO68">
        <f>IF(BI68=2,ROUND(O68+X68+Y68+GK68,2),0)</f>
        <v>0</v>
      </c>
      <c r="GP68">
        <f>IF(BI68=4,ROUND(O68+X68+Y68+GK68,2)+GX68,0)</f>
        <v>0</v>
      </c>
      <c r="GR68">
        <v>1</v>
      </c>
      <c r="GS68">
        <v>1</v>
      </c>
      <c r="GT68">
        <v>0</v>
      </c>
      <c r="GU68" t="s">
        <v>4</v>
      </c>
      <c r="GV68">
        <f>ROUND((GT68),6)</f>
        <v>0</v>
      </c>
      <c r="GW68">
        <v>1</v>
      </c>
      <c r="GX68">
        <f>ROUND(HC68*I68,2)</f>
        <v>0</v>
      </c>
      <c r="HA68">
        <v>0</v>
      </c>
      <c r="HB68">
        <v>0</v>
      </c>
      <c r="HC68">
        <f>GV68*GW68</f>
        <v>0</v>
      </c>
      <c r="IK68">
        <v>0</v>
      </c>
    </row>
    <row r="69" spans="1:245" x14ac:dyDescent="0.25">
      <c r="A69">
        <v>17</v>
      </c>
      <c r="B69">
        <v>1</v>
      </c>
      <c r="E69" t="s">
        <v>102</v>
      </c>
      <c r="F69" t="s">
        <v>93</v>
      </c>
      <c r="G69" t="s">
        <v>103</v>
      </c>
      <c r="H69" t="s">
        <v>95</v>
      </c>
      <c r="I69">
        <v>1</v>
      </c>
      <c r="J69">
        <v>0</v>
      </c>
      <c r="O69">
        <f>ROUND(CP69,2)</f>
        <v>28228.14</v>
      </c>
      <c r="P69">
        <f>ROUND(CQ69*I69,2)</f>
        <v>28228.14</v>
      </c>
      <c r="Q69">
        <f>ROUND(CR69*I69,2)</f>
        <v>0</v>
      </c>
      <c r="R69">
        <f>ROUND(CS69*I69,2)</f>
        <v>0</v>
      </c>
      <c r="S69">
        <f>ROUND(CT69*I69,2)</f>
        <v>0</v>
      </c>
      <c r="T69">
        <f>ROUND(CU69*I69,2)</f>
        <v>0</v>
      </c>
      <c r="U69">
        <f>CV69*I69</f>
        <v>0</v>
      </c>
      <c r="V69">
        <f>CW69*I69</f>
        <v>0</v>
      </c>
      <c r="W69">
        <f>ROUND(CX69*I69,2)</f>
        <v>0</v>
      </c>
      <c r="X69">
        <f t="shared" si="32"/>
        <v>0</v>
      </c>
      <c r="Y69">
        <f t="shared" si="32"/>
        <v>0</v>
      </c>
      <c r="AA69">
        <v>40519780</v>
      </c>
      <c r="AB69">
        <f>ROUND((AC69+AD69+AF69),6)</f>
        <v>5917.85</v>
      </c>
      <c r="AC69">
        <f t="shared" si="33"/>
        <v>5917.85</v>
      </c>
      <c r="AD69">
        <f t="shared" si="33"/>
        <v>0</v>
      </c>
      <c r="AE69">
        <f t="shared" si="33"/>
        <v>0</v>
      </c>
      <c r="AF69">
        <f t="shared" si="33"/>
        <v>0</v>
      </c>
      <c r="AG69">
        <f>ROUND((AP69),6)</f>
        <v>0</v>
      </c>
      <c r="AH69">
        <f t="shared" si="34"/>
        <v>0</v>
      </c>
      <c r="AI69">
        <f t="shared" si="34"/>
        <v>0</v>
      </c>
      <c r="AJ69">
        <f>(AS69)</f>
        <v>0</v>
      </c>
      <c r="AK69">
        <v>5917.8499999999995</v>
      </c>
      <c r="AL69">
        <v>5917.8499999999995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1</v>
      </c>
      <c r="AW69">
        <v>1</v>
      </c>
      <c r="AZ69">
        <v>1</v>
      </c>
      <c r="BA69">
        <v>1</v>
      </c>
      <c r="BB69">
        <v>1</v>
      </c>
      <c r="BC69">
        <v>4.7699999999999996</v>
      </c>
      <c r="BD69" t="s">
        <v>4</v>
      </c>
      <c r="BE69" t="s">
        <v>4</v>
      </c>
      <c r="BF69" t="s">
        <v>4</v>
      </c>
      <c r="BG69" t="s">
        <v>4</v>
      </c>
      <c r="BH69">
        <v>3</v>
      </c>
      <c r="BI69">
        <v>3</v>
      </c>
      <c r="BJ69" t="s">
        <v>4</v>
      </c>
      <c r="BM69">
        <v>400002</v>
      </c>
      <c r="BN69">
        <v>0</v>
      </c>
      <c r="BO69" t="s">
        <v>4</v>
      </c>
      <c r="BP69">
        <v>0</v>
      </c>
      <c r="BQ69">
        <v>202</v>
      </c>
      <c r="BR69">
        <v>0</v>
      </c>
      <c r="BS69">
        <v>1</v>
      </c>
      <c r="BT69">
        <v>1</v>
      </c>
      <c r="BU69">
        <v>1</v>
      </c>
      <c r="BV69">
        <v>1</v>
      </c>
      <c r="BW69">
        <v>1</v>
      </c>
      <c r="BX69">
        <v>1</v>
      </c>
      <c r="BY69" t="s">
        <v>4</v>
      </c>
      <c r="BZ69">
        <v>0</v>
      </c>
      <c r="CA69">
        <v>0</v>
      </c>
      <c r="CE69">
        <v>0</v>
      </c>
      <c r="CF69">
        <v>0</v>
      </c>
      <c r="CG69">
        <v>0</v>
      </c>
      <c r="CM69">
        <v>0</v>
      </c>
      <c r="CN69" t="s">
        <v>4</v>
      </c>
      <c r="CO69">
        <v>0</v>
      </c>
      <c r="CP69">
        <f>(P69+Q69+S69)</f>
        <v>28228.14</v>
      </c>
      <c r="CQ69">
        <f>(AC69*BC69*AW69)</f>
        <v>28228.144499999999</v>
      </c>
      <c r="CR69">
        <f>(AD69*BB69*AV69)</f>
        <v>0</v>
      </c>
      <c r="CS69">
        <f>(AE69*BS69*AV69)</f>
        <v>0</v>
      </c>
      <c r="CT69">
        <f>(AF69*BA69*AV69)</f>
        <v>0</v>
      </c>
      <c r="CU69">
        <f>AG69</f>
        <v>0</v>
      </c>
      <c r="CV69">
        <f>(AH69*AV69)</f>
        <v>0</v>
      </c>
      <c r="CW69">
        <f t="shared" si="35"/>
        <v>0</v>
      </c>
      <c r="CX69">
        <f t="shared" si="35"/>
        <v>0</v>
      </c>
      <c r="CY69">
        <f>S69*(BZ69/100)</f>
        <v>0</v>
      </c>
      <c r="CZ69">
        <f>S69*(CA69/100)</f>
        <v>0</v>
      </c>
      <c r="DC69" t="s">
        <v>4</v>
      </c>
      <c r="DD69" t="s">
        <v>4</v>
      </c>
      <c r="DE69" t="s">
        <v>4</v>
      </c>
      <c r="DF69" t="s">
        <v>4</v>
      </c>
      <c r="DG69" t="s">
        <v>4</v>
      </c>
      <c r="DH69" t="s">
        <v>4</v>
      </c>
      <c r="DI69" t="s">
        <v>4</v>
      </c>
      <c r="DJ69" t="s">
        <v>4</v>
      </c>
      <c r="DK69" t="s">
        <v>4</v>
      </c>
      <c r="DL69" t="s">
        <v>4</v>
      </c>
      <c r="DM69" t="s">
        <v>4</v>
      </c>
      <c r="DN69">
        <v>0</v>
      </c>
      <c r="DO69">
        <v>0</v>
      </c>
      <c r="DP69">
        <v>1</v>
      </c>
      <c r="DQ69">
        <v>1</v>
      </c>
      <c r="DU69">
        <v>1013</v>
      </c>
      <c r="DV69" t="s">
        <v>95</v>
      </c>
      <c r="DW69" t="s">
        <v>95</v>
      </c>
      <c r="DX69">
        <v>1</v>
      </c>
      <c r="EE69">
        <v>37459723</v>
      </c>
      <c r="EF69">
        <v>202</v>
      </c>
      <c r="EG69" t="s">
        <v>96</v>
      </c>
      <c r="EH69">
        <v>0</v>
      </c>
      <c r="EI69" t="s">
        <v>4</v>
      </c>
      <c r="EJ69">
        <v>1</v>
      </c>
      <c r="EK69">
        <v>400002</v>
      </c>
      <c r="EL69" t="s">
        <v>97</v>
      </c>
      <c r="EM69" t="s">
        <v>96</v>
      </c>
      <c r="EO69" t="s">
        <v>4</v>
      </c>
      <c r="EQ69">
        <v>0</v>
      </c>
      <c r="ER69">
        <v>5917.8499999999995</v>
      </c>
      <c r="ES69">
        <v>5917.8499999999995</v>
      </c>
      <c r="ET69">
        <v>0</v>
      </c>
      <c r="EU69">
        <v>0</v>
      </c>
      <c r="EV69">
        <v>0</v>
      </c>
      <c r="EW69">
        <v>0</v>
      </c>
      <c r="EX69">
        <v>0</v>
      </c>
      <c r="EY69">
        <v>0</v>
      </c>
      <c r="EZ69">
        <v>5</v>
      </c>
      <c r="FC69">
        <v>1</v>
      </c>
      <c r="FD69">
        <v>18</v>
      </c>
      <c r="FF69">
        <v>32497.200000000001</v>
      </c>
      <c r="FQ69">
        <v>0</v>
      </c>
      <c r="FR69">
        <f>ROUND(IF(AND(BH69=3,BI69=3),P69,0),2)</f>
        <v>28228.14</v>
      </c>
      <c r="FS69">
        <v>0</v>
      </c>
      <c r="FX69">
        <v>0</v>
      </c>
      <c r="FY69">
        <v>0</v>
      </c>
      <c r="GA69" t="s">
        <v>104</v>
      </c>
      <c r="GD69">
        <v>0</v>
      </c>
      <c r="GF69">
        <v>-781054158</v>
      </c>
      <c r="GG69">
        <v>2</v>
      </c>
      <c r="GH69">
        <v>3</v>
      </c>
      <c r="GI69">
        <v>3</v>
      </c>
      <c r="GJ69">
        <v>0</v>
      </c>
      <c r="GK69">
        <f>ROUND(R69*(R12)/100,2)</f>
        <v>0</v>
      </c>
      <c r="GL69">
        <f>ROUND(IF(AND(BH69=3,BI69=3,FS69&lt;&gt;0),P69,0),2)</f>
        <v>0</v>
      </c>
      <c r="GM69">
        <f>ROUND(O69+X69+Y69+GK69,2)+GX69</f>
        <v>28228.14</v>
      </c>
      <c r="GN69">
        <f>IF(OR(BI69=0,BI69=1),ROUND(O69+X69+Y69+GK69,2),0)</f>
        <v>0</v>
      </c>
      <c r="GO69">
        <f>IF(BI69=2,ROUND(O69+X69+Y69+GK69,2),0)</f>
        <v>0</v>
      </c>
      <c r="GP69">
        <f>IF(BI69=4,ROUND(O69+X69+Y69+GK69,2)+GX69,0)</f>
        <v>0</v>
      </c>
      <c r="GR69">
        <v>1</v>
      </c>
      <c r="GS69">
        <v>1</v>
      </c>
      <c r="GT69">
        <v>0</v>
      </c>
      <c r="GU69" t="s">
        <v>4</v>
      </c>
      <c r="GV69">
        <f>ROUND((GT69),6)</f>
        <v>0</v>
      </c>
      <c r="GW69">
        <v>1</v>
      </c>
      <c r="GX69">
        <f>ROUND(HC69*I69,2)</f>
        <v>0</v>
      </c>
      <c r="HA69">
        <v>0</v>
      </c>
      <c r="HB69">
        <v>0</v>
      </c>
      <c r="HC69">
        <f>GV69*GW69</f>
        <v>0</v>
      </c>
      <c r="IK69">
        <v>0</v>
      </c>
    </row>
    <row r="71" spans="1:245" x14ac:dyDescent="0.25">
      <c r="A71" s="2">
        <v>51</v>
      </c>
      <c r="B71" s="2">
        <f>B63</f>
        <v>1</v>
      </c>
      <c r="C71" s="2">
        <f>A63</f>
        <v>4</v>
      </c>
      <c r="D71" s="2">
        <f>ROW(A63)</f>
        <v>63</v>
      </c>
      <c r="E71" s="2"/>
      <c r="F71" s="2" t="str">
        <f>IF(F63&lt;&gt;"",F63,"")</f>
        <v/>
      </c>
      <c r="G71" s="2" t="str">
        <f>IF(G63&lt;&gt;"",G63,"")</f>
        <v>Оборудование</v>
      </c>
      <c r="H71" s="2">
        <v>0</v>
      </c>
      <c r="I71" s="2"/>
      <c r="J71" s="2"/>
      <c r="K71" s="2"/>
      <c r="L71" s="2"/>
      <c r="M71" s="2"/>
      <c r="N71" s="2"/>
      <c r="O71" s="2">
        <f t="shared" ref="O71:T71" si="36">ROUND(AB71,2)</f>
        <v>2768458.82</v>
      </c>
      <c r="P71" s="2">
        <f t="shared" si="36"/>
        <v>2768458.82</v>
      </c>
      <c r="Q71" s="2">
        <f t="shared" si="36"/>
        <v>0</v>
      </c>
      <c r="R71" s="2">
        <f t="shared" si="36"/>
        <v>0</v>
      </c>
      <c r="S71" s="2">
        <f t="shared" si="36"/>
        <v>0</v>
      </c>
      <c r="T71" s="2">
        <f t="shared" si="36"/>
        <v>0</v>
      </c>
      <c r="U71" s="2">
        <f>AH71</f>
        <v>0</v>
      </c>
      <c r="V71" s="2">
        <f>AI71</f>
        <v>0</v>
      </c>
      <c r="W71" s="2">
        <f>ROUND(AJ71,2)</f>
        <v>0</v>
      </c>
      <c r="X71" s="2">
        <f>ROUND(AK71,2)</f>
        <v>0</v>
      </c>
      <c r="Y71" s="2">
        <f>ROUND(AL71,2)</f>
        <v>0</v>
      </c>
      <c r="Z71" s="2"/>
      <c r="AA71" s="2"/>
      <c r="AB71" s="2">
        <f>ROUND(SUMIF(AA67:AA69,"=40519780",O67:O69),2)</f>
        <v>2768458.82</v>
      </c>
      <c r="AC71" s="2">
        <f>ROUND(SUMIF(AA67:AA69,"=40519780",P67:P69),2)</f>
        <v>2768458.82</v>
      </c>
      <c r="AD71" s="2">
        <f>ROUND(SUMIF(AA67:AA69,"=40519780",Q67:Q69),2)</f>
        <v>0</v>
      </c>
      <c r="AE71" s="2">
        <f>ROUND(SUMIF(AA67:AA69,"=40519780",R67:R69),2)</f>
        <v>0</v>
      </c>
      <c r="AF71" s="2">
        <f>ROUND(SUMIF(AA67:AA69,"=40519780",S67:S69),2)</f>
        <v>0</v>
      </c>
      <c r="AG71" s="2">
        <f>ROUND(SUMIF(AA67:AA69,"=40519780",T67:T69),2)</f>
        <v>0</v>
      </c>
      <c r="AH71" s="2">
        <f>SUMIF(AA67:AA69,"=40519780",U67:U69)</f>
        <v>0</v>
      </c>
      <c r="AI71" s="2">
        <f>SUMIF(AA67:AA69,"=40519780",V67:V69)</f>
        <v>0</v>
      </c>
      <c r="AJ71" s="2">
        <f>ROUND(SUMIF(AA67:AA69,"=40519780",W67:W69),2)</f>
        <v>0</v>
      </c>
      <c r="AK71" s="2">
        <f>ROUND(SUMIF(AA67:AA69,"=40519780",X67:X69),2)</f>
        <v>0</v>
      </c>
      <c r="AL71" s="2">
        <f>ROUND(SUMIF(AA67:AA69,"=40519780",Y67:Y69),2)</f>
        <v>0</v>
      </c>
      <c r="AM71" s="2"/>
      <c r="AN71" s="2"/>
      <c r="AO71" s="2">
        <f t="shared" ref="AO71:BD71" si="37">ROUND(BX71,2)</f>
        <v>0</v>
      </c>
      <c r="AP71" s="2">
        <f t="shared" si="37"/>
        <v>2768458.82</v>
      </c>
      <c r="AQ71" s="2">
        <f t="shared" si="37"/>
        <v>0</v>
      </c>
      <c r="AR71" s="2">
        <f t="shared" si="37"/>
        <v>2768458.82</v>
      </c>
      <c r="AS71" s="2">
        <f t="shared" si="37"/>
        <v>0</v>
      </c>
      <c r="AT71" s="2">
        <f t="shared" si="37"/>
        <v>0</v>
      </c>
      <c r="AU71" s="2">
        <f t="shared" si="37"/>
        <v>0</v>
      </c>
      <c r="AV71" s="2">
        <f t="shared" si="37"/>
        <v>2768458.82</v>
      </c>
      <c r="AW71" s="2">
        <f t="shared" si="37"/>
        <v>0</v>
      </c>
      <c r="AX71" s="2">
        <f t="shared" si="37"/>
        <v>0</v>
      </c>
      <c r="AY71" s="2">
        <f t="shared" si="37"/>
        <v>0</v>
      </c>
      <c r="AZ71" s="2">
        <f t="shared" si="37"/>
        <v>2768458.82</v>
      </c>
      <c r="BA71" s="2">
        <f t="shared" si="37"/>
        <v>0</v>
      </c>
      <c r="BB71" s="2">
        <f t="shared" si="37"/>
        <v>0</v>
      </c>
      <c r="BC71" s="2">
        <f t="shared" si="37"/>
        <v>0</v>
      </c>
      <c r="BD71" s="2">
        <f t="shared" si="37"/>
        <v>0</v>
      </c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>
        <f>ROUND(SUMIF(AA67:AA69,"=40519780",FQ67:FQ69),2)</f>
        <v>0</v>
      </c>
      <c r="BY71" s="2">
        <f>ROUND(SUMIF(AA67:AA69,"=40519780",FR67:FR69),2)</f>
        <v>2768458.82</v>
      </c>
      <c r="BZ71" s="2">
        <f>ROUND(SUMIF(AA67:AA69,"=40519780",GL67:GL69),2)</f>
        <v>0</v>
      </c>
      <c r="CA71" s="2">
        <f>ROUND(SUMIF(AA67:AA69,"=40519780",GM67:GM69),2)</f>
        <v>2768458.82</v>
      </c>
      <c r="CB71" s="2">
        <f>ROUND(SUMIF(AA67:AA69,"=40519780",GN67:GN69),2)</f>
        <v>0</v>
      </c>
      <c r="CC71" s="2">
        <f>ROUND(SUMIF(AA67:AA69,"=40519780",GO67:GO69),2)</f>
        <v>0</v>
      </c>
      <c r="CD71" s="2">
        <f>ROUND(SUMIF(AA67:AA69,"=40519780",GP67:GP69),2)</f>
        <v>0</v>
      </c>
      <c r="CE71" s="2">
        <f>AC71-BX71</f>
        <v>2768458.82</v>
      </c>
      <c r="CF71" s="2">
        <f>AC71-BY71</f>
        <v>0</v>
      </c>
      <c r="CG71" s="2">
        <f>BX71-BZ71</f>
        <v>0</v>
      </c>
      <c r="CH71" s="2">
        <f>AC71-BX71-BY71+BZ71</f>
        <v>0</v>
      </c>
      <c r="CI71" s="2">
        <f>BY71-BZ71</f>
        <v>2768458.82</v>
      </c>
      <c r="CJ71" s="2">
        <f>ROUND(SUMIF(AA67:AA69,"=40519780",GX67:GX69),2)</f>
        <v>0</v>
      </c>
      <c r="CK71" s="2">
        <f>ROUND(SUMIF(AA67:AA69,"=40519780",GY67:GY69),2)</f>
        <v>0</v>
      </c>
      <c r="CL71" s="2">
        <f>ROUND(SUMIF(AA67:AA69,"=40519780",GZ67:GZ69),2)</f>
        <v>0</v>
      </c>
      <c r="CM71" s="2">
        <f>ROUND(SUMIF(AA67:AA69,"=40519780",HD67:HD69),2)</f>
        <v>0</v>
      </c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>
        <v>0</v>
      </c>
    </row>
    <row r="73" spans="1:245" x14ac:dyDescent="0.25">
      <c r="A73" s="4">
        <v>50</v>
      </c>
      <c r="B73" s="4">
        <v>0</v>
      </c>
      <c r="C73" s="4">
        <v>0</v>
      </c>
      <c r="D73" s="4">
        <v>1</v>
      </c>
      <c r="E73" s="4">
        <v>201</v>
      </c>
      <c r="F73" s="4">
        <f>ROUND(Source!O71,O73)</f>
        <v>2768458.82</v>
      </c>
      <c r="G73" s="4" t="s">
        <v>38</v>
      </c>
      <c r="H73" s="4" t="s">
        <v>39</v>
      </c>
      <c r="I73" s="4"/>
      <c r="J73" s="4"/>
      <c r="K73" s="4">
        <v>201</v>
      </c>
      <c r="L73" s="4">
        <v>1</v>
      </c>
      <c r="M73" s="4">
        <v>3</v>
      </c>
      <c r="N73" s="4" t="s">
        <v>4</v>
      </c>
      <c r="O73" s="4">
        <v>2</v>
      </c>
      <c r="P73" s="4"/>
      <c r="Q73" s="4"/>
      <c r="R73" s="4"/>
      <c r="S73" s="4"/>
      <c r="T73" s="4"/>
      <c r="U73" s="4"/>
      <c r="V73" s="4"/>
      <c r="W73" s="4"/>
    </row>
    <row r="74" spans="1:245" x14ac:dyDescent="0.25">
      <c r="A74" s="4">
        <v>50</v>
      </c>
      <c r="B74" s="4">
        <v>0</v>
      </c>
      <c r="C74" s="4">
        <v>0</v>
      </c>
      <c r="D74" s="4">
        <v>1</v>
      </c>
      <c r="E74" s="4">
        <v>202</v>
      </c>
      <c r="F74" s="4">
        <f>ROUND(Source!P71,O74)</f>
        <v>2768458.82</v>
      </c>
      <c r="G74" s="4" t="s">
        <v>40</v>
      </c>
      <c r="H74" s="4" t="s">
        <v>41</v>
      </c>
      <c r="I74" s="4"/>
      <c r="J74" s="4"/>
      <c r="K74" s="4">
        <v>202</v>
      </c>
      <c r="L74" s="4">
        <v>2</v>
      </c>
      <c r="M74" s="4">
        <v>3</v>
      </c>
      <c r="N74" s="4" t="s">
        <v>4</v>
      </c>
      <c r="O74" s="4">
        <v>2</v>
      </c>
      <c r="P74" s="4"/>
      <c r="Q74" s="4"/>
      <c r="R74" s="4"/>
      <c r="S74" s="4"/>
      <c r="T74" s="4"/>
      <c r="U74" s="4"/>
      <c r="V74" s="4"/>
      <c r="W74" s="4"/>
    </row>
    <row r="75" spans="1:245" x14ac:dyDescent="0.25">
      <c r="A75" s="4">
        <v>50</v>
      </c>
      <c r="B75" s="4">
        <v>0</v>
      </c>
      <c r="C75" s="4">
        <v>0</v>
      </c>
      <c r="D75" s="4">
        <v>1</v>
      </c>
      <c r="E75" s="4">
        <v>227</v>
      </c>
      <c r="F75" s="4">
        <f>ROUND(Source!AO71,O75)</f>
        <v>0</v>
      </c>
      <c r="G75" s="4" t="s">
        <v>42</v>
      </c>
      <c r="H75" s="4" t="s">
        <v>43</v>
      </c>
      <c r="I75" s="4"/>
      <c r="J75" s="4"/>
      <c r="K75" s="4">
        <v>222</v>
      </c>
      <c r="L75" s="4">
        <v>3</v>
      </c>
      <c r="M75" s="4">
        <v>3</v>
      </c>
      <c r="N75" s="4" t="s">
        <v>4</v>
      </c>
      <c r="O75" s="4">
        <v>2</v>
      </c>
      <c r="P75" s="4"/>
      <c r="Q75" s="4"/>
      <c r="R75" s="4"/>
      <c r="S75" s="4"/>
      <c r="T75" s="4"/>
      <c r="U75" s="4"/>
      <c r="V75" s="4"/>
      <c r="W75" s="4"/>
    </row>
    <row r="76" spans="1:245" x14ac:dyDescent="0.25">
      <c r="A76" s="4">
        <v>50</v>
      </c>
      <c r="B76" s="4">
        <v>0</v>
      </c>
      <c r="C76" s="4">
        <v>0</v>
      </c>
      <c r="D76" s="4">
        <v>1</v>
      </c>
      <c r="E76" s="4">
        <v>225</v>
      </c>
      <c r="F76" s="4">
        <f>ROUND(Source!AV71,O76)</f>
        <v>2768458.82</v>
      </c>
      <c r="G76" s="4" t="s">
        <v>44</v>
      </c>
      <c r="H76" s="4" t="s">
        <v>45</v>
      </c>
      <c r="I76" s="4"/>
      <c r="J76" s="4"/>
      <c r="K76" s="4">
        <v>225</v>
      </c>
      <c r="L76" s="4">
        <v>4</v>
      </c>
      <c r="M76" s="4">
        <v>3</v>
      </c>
      <c r="N76" s="4" t="s">
        <v>4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45" x14ac:dyDescent="0.25">
      <c r="A77" s="4">
        <v>50</v>
      </c>
      <c r="B77" s="4">
        <v>0</v>
      </c>
      <c r="C77" s="4">
        <v>0</v>
      </c>
      <c r="D77" s="4">
        <v>1</v>
      </c>
      <c r="E77" s="4">
        <v>226</v>
      </c>
      <c r="F77" s="4">
        <f>ROUND(Source!AW71,O77)</f>
        <v>0</v>
      </c>
      <c r="G77" s="4" t="s">
        <v>46</v>
      </c>
      <c r="H77" s="4" t="s">
        <v>47</v>
      </c>
      <c r="I77" s="4"/>
      <c r="J77" s="4"/>
      <c r="K77" s="4">
        <v>226</v>
      </c>
      <c r="L77" s="4">
        <v>5</v>
      </c>
      <c r="M77" s="4">
        <v>3</v>
      </c>
      <c r="N77" s="4" t="s">
        <v>4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45" x14ac:dyDescent="0.25">
      <c r="A78" s="4">
        <v>50</v>
      </c>
      <c r="B78" s="4">
        <v>0</v>
      </c>
      <c r="C78" s="4">
        <v>0</v>
      </c>
      <c r="D78" s="4">
        <v>1</v>
      </c>
      <c r="E78" s="4">
        <v>0</v>
      </c>
      <c r="F78" s="4">
        <f>ROUND(Source!AX71,O78)</f>
        <v>0</v>
      </c>
      <c r="G78" s="4" t="s">
        <v>48</v>
      </c>
      <c r="H78" s="4" t="s">
        <v>49</v>
      </c>
      <c r="I78" s="4"/>
      <c r="J78" s="4"/>
      <c r="K78" s="4">
        <v>227</v>
      </c>
      <c r="L78" s="4">
        <v>6</v>
      </c>
      <c r="M78" s="4">
        <v>3</v>
      </c>
      <c r="N78" s="4" t="s">
        <v>4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45" x14ac:dyDescent="0.25">
      <c r="A79" s="4">
        <v>50</v>
      </c>
      <c r="B79" s="4">
        <v>0</v>
      </c>
      <c r="C79" s="4">
        <v>0</v>
      </c>
      <c r="D79" s="4">
        <v>1</v>
      </c>
      <c r="E79" s="4">
        <v>228</v>
      </c>
      <c r="F79" s="4">
        <f>ROUND(Source!AY71,O79)</f>
        <v>0</v>
      </c>
      <c r="G79" s="4" t="s">
        <v>50</v>
      </c>
      <c r="H79" s="4" t="s">
        <v>51</v>
      </c>
      <c r="I79" s="4"/>
      <c r="J79" s="4"/>
      <c r="K79" s="4">
        <v>228</v>
      </c>
      <c r="L79" s="4">
        <v>7</v>
      </c>
      <c r="M79" s="4">
        <v>3</v>
      </c>
      <c r="N79" s="4" t="s">
        <v>4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45" x14ac:dyDescent="0.25">
      <c r="A80" s="4">
        <v>50</v>
      </c>
      <c r="B80" s="4">
        <v>0</v>
      </c>
      <c r="C80" s="4">
        <v>0</v>
      </c>
      <c r="D80" s="4">
        <v>1</v>
      </c>
      <c r="E80" s="4">
        <v>216</v>
      </c>
      <c r="F80" s="4">
        <f>ROUND(Source!AP71,O80)</f>
        <v>2768458.82</v>
      </c>
      <c r="G80" s="4" t="s">
        <v>52</v>
      </c>
      <c r="H80" s="4" t="s">
        <v>53</v>
      </c>
      <c r="I80" s="4"/>
      <c r="J80" s="4"/>
      <c r="K80" s="4">
        <v>216</v>
      </c>
      <c r="L80" s="4">
        <v>8</v>
      </c>
      <c r="M80" s="4">
        <v>3</v>
      </c>
      <c r="N80" s="4" t="s">
        <v>4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 x14ac:dyDescent="0.25">
      <c r="A81" s="4">
        <v>50</v>
      </c>
      <c r="B81" s="4">
        <v>0</v>
      </c>
      <c r="C81" s="4">
        <v>0</v>
      </c>
      <c r="D81" s="4">
        <v>1</v>
      </c>
      <c r="E81" s="4">
        <v>223</v>
      </c>
      <c r="F81" s="4">
        <f>ROUND(Source!AQ71,O81)</f>
        <v>0</v>
      </c>
      <c r="G81" s="4" t="s">
        <v>54</v>
      </c>
      <c r="H81" s="4" t="s">
        <v>55</v>
      </c>
      <c r="I81" s="4"/>
      <c r="J81" s="4"/>
      <c r="K81" s="4">
        <v>223</v>
      </c>
      <c r="L81" s="4">
        <v>9</v>
      </c>
      <c r="M81" s="4">
        <v>3</v>
      </c>
      <c r="N81" s="4" t="s">
        <v>4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 x14ac:dyDescent="0.25">
      <c r="A82" s="4">
        <v>50</v>
      </c>
      <c r="B82" s="4">
        <v>0</v>
      </c>
      <c r="C82" s="4">
        <v>0</v>
      </c>
      <c r="D82" s="4">
        <v>1</v>
      </c>
      <c r="E82" s="4">
        <v>229</v>
      </c>
      <c r="F82" s="4">
        <f>ROUND(Source!AZ71,O82)</f>
        <v>2768458.82</v>
      </c>
      <c r="G82" s="4" t="s">
        <v>56</v>
      </c>
      <c r="H82" s="4" t="s">
        <v>57</v>
      </c>
      <c r="I82" s="4"/>
      <c r="J82" s="4"/>
      <c r="K82" s="4">
        <v>229</v>
      </c>
      <c r="L82" s="4">
        <v>10</v>
      </c>
      <c r="M82" s="4">
        <v>3</v>
      </c>
      <c r="N82" s="4" t="s">
        <v>4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 x14ac:dyDescent="0.25">
      <c r="A83" s="4">
        <v>50</v>
      </c>
      <c r="B83" s="4">
        <v>0</v>
      </c>
      <c r="C83" s="4">
        <v>0</v>
      </c>
      <c r="D83" s="4">
        <v>1</v>
      </c>
      <c r="E83" s="4">
        <v>203</v>
      </c>
      <c r="F83" s="4">
        <f>ROUND(Source!Q71,O83)</f>
        <v>0</v>
      </c>
      <c r="G83" s="4" t="s">
        <v>58</v>
      </c>
      <c r="H83" s="4" t="s">
        <v>59</v>
      </c>
      <c r="I83" s="4"/>
      <c r="J83" s="4"/>
      <c r="K83" s="4">
        <v>203</v>
      </c>
      <c r="L83" s="4">
        <v>11</v>
      </c>
      <c r="M83" s="4">
        <v>3</v>
      </c>
      <c r="N83" s="4" t="s">
        <v>4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 x14ac:dyDescent="0.25">
      <c r="A84" s="4">
        <v>50</v>
      </c>
      <c r="B84" s="4">
        <v>0</v>
      </c>
      <c r="C84" s="4">
        <v>0</v>
      </c>
      <c r="D84" s="4">
        <v>1</v>
      </c>
      <c r="E84" s="4">
        <v>231</v>
      </c>
      <c r="F84" s="4">
        <f>ROUND(Source!BB71,O84)</f>
        <v>0</v>
      </c>
      <c r="G84" s="4" t="s">
        <v>60</v>
      </c>
      <c r="H84" s="4" t="s">
        <v>61</v>
      </c>
      <c r="I84" s="4"/>
      <c r="J84" s="4"/>
      <c r="K84" s="4">
        <v>231</v>
      </c>
      <c r="L84" s="4">
        <v>12</v>
      </c>
      <c r="M84" s="4">
        <v>3</v>
      </c>
      <c r="N84" s="4" t="s">
        <v>4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 x14ac:dyDescent="0.25">
      <c r="A85" s="4">
        <v>50</v>
      </c>
      <c r="B85" s="4">
        <v>0</v>
      </c>
      <c r="C85" s="4">
        <v>0</v>
      </c>
      <c r="D85" s="4">
        <v>1</v>
      </c>
      <c r="E85" s="4">
        <v>204</v>
      </c>
      <c r="F85" s="4">
        <f>ROUND(Source!R71,O85)</f>
        <v>0</v>
      </c>
      <c r="G85" s="4" t="s">
        <v>62</v>
      </c>
      <c r="H85" s="4" t="s">
        <v>63</v>
      </c>
      <c r="I85" s="4"/>
      <c r="J85" s="4"/>
      <c r="K85" s="4">
        <v>204</v>
      </c>
      <c r="L85" s="4">
        <v>13</v>
      </c>
      <c r="M85" s="4">
        <v>3</v>
      </c>
      <c r="N85" s="4" t="s">
        <v>4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 x14ac:dyDescent="0.25">
      <c r="A86" s="4">
        <v>50</v>
      </c>
      <c r="B86" s="4">
        <v>0</v>
      </c>
      <c r="C86" s="4">
        <v>0</v>
      </c>
      <c r="D86" s="4">
        <v>1</v>
      </c>
      <c r="E86" s="4">
        <v>205</v>
      </c>
      <c r="F86" s="4">
        <f>ROUND(Source!S71,O86)</f>
        <v>0</v>
      </c>
      <c r="G86" s="4" t="s">
        <v>64</v>
      </c>
      <c r="H86" s="4" t="s">
        <v>65</v>
      </c>
      <c r="I86" s="4"/>
      <c r="J86" s="4"/>
      <c r="K86" s="4">
        <v>205</v>
      </c>
      <c r="L86" s="4">
        <v>14</v>
      </c>
      <c r="M86" s="4">
        <v>3</v>
      </c>
      <c r="N86" s="4" t="s">
        <v>4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 x14ac:dyDescent="0.25">
      <c r="A87" s="4">
        <v>50</v>
      </c>
      <c r="B87" s="4">
        <v>0</v>
      </c>
      <c r="C87" s="4">
        <v>0</v>
      </c>
      <c r="D87" s="4">
        <v>1</v>
      </c>
      <c r="E87" s="4">
        <v>232</v>
      </c>
      <c r="F87" s="4">
        <f>ROUND(Source!BC71,O87)</f>
        <v>0</v>
      </c>
      <c r="G87" s="4" t="s">
        <v>66</v>
      </c>
      <c r="H87" s="4" t="s">
        <v>67</v>
      </c>
      <c r="I87" s="4"/>
      <c r="J87" s="4"/>
      <c r="K87" s="4">
        <v>232</v>
      </c>
      <c r="L87" s="4">
        <v>15</v>
      </c>
      <c r="M87" s="4">
        <v>3</v>
      </c>
      <c r="N87" s="4" t="s">
        <v>4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 x14ac:dyDescent="0.25">
      <c r="A88" s="4">
        <v>50</v>
      </c>
      <c r="B88" s="4">
        <v>0</v>
      </c>
      <c r="C88" s="4">
        <v>0</v>
      </c>
      <c r="D88" s="4">
        <v>1</v>
      </c>
      <c r="E88" s="4">
        <v>214</v>
      </c>
      <c r="F88" s="4">
        <f>ROUND(Source!AS71,O88)</f>
        <v>0</v>
      </c>
      <c r="G88" s="4" t="s">
        <v>68</v>
      </c>
      <c r="H88" s="4" t="s">
        <v>69</v>
      </c>
      <c r="I88" s="4"/>
      <c r="J88" s="4"/>
      <c r="K88" s="4">
        <v>214</v>
      </c>
      <c r="L88" s="4">
        <v>16</v>
      </c>
      <c r="M88" s="4">
        <v>3</v>
      </c>
      <c r="N88" s="4" t="s">
        <v>4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 x14ac:dyDescent="0.25">
      <c r="A89" s="4">
        <v>50</v>
      </c>
      <c r="B89" s="4">
        <v>0</v>
      </c>
      <c r="C89" s="4">
        <v>0</v>
      </c>
      <c r="D89" s="4">
        <v>1</v>
      </c>
      <c r="E89" s="4">
        <v>215</v>
      </c>
      <c r="F89" s="4">
        <f>ROUND(Source!AT71,O89)</f>
        <v>0</v>
      </c>
      <c r="G89" s="4" t="s">
        <v>70</v>
      </c>
      <c r="H89" s="4" t="s">
        <v>71</v>
      </c>
      <c r="I89" s="4"/>
      <c r="J89" s="4"/>
      <c r="K89" s="4">
        <v>215</v>
      </c>
      <c r="L89" s="4">
        <v>17</v>
      </c>
      <c r="M89" s="4">
        <v>3</v>
      </c>
      <c r="N89" s="4" t="s">
        <v>4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 x14ac:dyDescent="0.25">
      <c r="A90" s="4">
        <v>50</v>
      </c>
      <c r="B90" s="4">
        <v>0</v>
      </c>
      <c r="C90" s="4">
        <v>0</v>
      </c>
      <c r="D90" s="4">
        <v>1</v>
      </c>
      <c r="E90" s="4">
        <v>217</v>
      </c>
      <c r="F90" s="4">
        <f>ROUND(Source!AU71,O90)</f>
        <v>0</v>
      </c>
      <c r="G90" s="4" t="s">
        <v>72</v>
      </c>
      <c r="H90" s="4" t="s">
        <v>73</v>
      </c>
      <c r="I90" s="4"/>
      <c r="J90" s="4"/>
      <c r="K90" s="4">
        <v>217</v>
      </c>
      <c r="L90" s="4">
        <v>18</v>
      </c>
      <c r="M90" s="4">
        <v>3</v>
      </c>
      <c r="N90" s="4" t="s">
        <v>4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 x14ac:dyDescent="0.25">
      <c r="A91" s="4">
        <v>50</v>
      </c>
      <c r="B91" s="4">
        <v>0</v>
      </c>
      <c r="C91" s="4">
        <v>0</v>
      </c>
      <c r="D91" s="4">
        <v>1</v>
      </c>
      <c r="E91" s="4">
        <v>230</v>
      </c>
      <c r="F91" s="4">
        <f>ROUND(Source!BA71,O91)</f>
        <v>0</v>
      </c>
      <c r="G91" s="4" t="s">
        <v>74</v>
      </c>
      <c r="H91" s="4" t="s">
        <v>75</v>
      </c>
      <c r="I91" s="4"/>
      <c r="J91" s="4"/>
      <c r="K91" s="4">
        <v>230</v>
      </c>
      <c r="L91" s="4">
        <v>19</v>
      </c>
      <c r="M91" s="4">
        <v>3</v>
      </c>
      <c r="N91" s="4" t="s">
        <v>4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 x14ac:dyDescent="0.25">
      <c r="A92" s="4">
        <v>50</v>
      </c>
      <c r="B92" s="4">
        <v>0</v>
      </c>
      <c r="C92" s="4">
        <v>0</v>
      </c>
      <c r="D92" s="4">
        <v>1</v>
      </c>
      <c r="E92" s="4">
        <v>206</v>
      </c>
      <c r="F92" s="4">
        <f>ROUND(Source!T71,O92)</f>
        <v>0</v>
      </c>
      <c r="G92" s="4" t="s">
        <v>76</v>
      </c>
      <c r="H92" s="4" t="s">
        <v>77</v>
      </c>
      <c r="I92" s="4"/>
      <c r="J92" s="4"/>
      <c r="K92" s="4">
        <v>206</v>
      </c>
      <c r="L92" s="4">
        <v>20</v>
      </c>
      <c r="M92" s="4">
        <v>3</v>
      </c>
      <c r="N92" s="4" t="s">
        <v>4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 x14ac:dyDescent="0.25">
      <c r="A93" s="4">
        <v>50</v>
      </c>
      <c r="B93" s="4">
        <v>0</v>
      </c>
      <c r="C93" s="4">
        <v>0</v>
      </c>
      <c r="D93" s="4">
        <v>1</v>
      </c>
      <c r="E93" s="4">
        <v>207</v>
      </c>
      <c r="F93" s="4">
        <f>ROUND(Source!U71,O93)</f>
        <v>0</v>
      </c>
      <c r="G93" s="4" t="s">
        <v>78</v>
      </c>
      <c r="H93" s="4" t="s">
        <v>79</v>
      </c>
      <c r="I93" s="4"/>
      <c r="J93" s="4"/>
      <c r="K93" s="4">
        <v>207</v>
      </c>
      <c r="L93" s="4">
        <v>21</v>
      </c>
      <c r="M93" s="4">
        <v>3</v>
      </c>
      <c r="N93" s="4" t="s">
        <v>4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 x14ac:dyDescent="0.25">
      <c r="A94" s="4">
        <v>50</v>
      </c>
      <c r="B94" s="4">
        <v>0</v>
      </c>
      <c r="C94" s="4">
        <v>0</v>
      </c>
      <c r="D94" s="4">
        <v>1</v>
      </c>
      <c r="E94" s="4">
        <v>208</v>
      </c>
      <c r="F94" s="4">
        <f>ROUND(Source!V71,O94)</f>
        <v>0</v>
      </c>
      <c r="G94" s="4" t="s">
        <v>80</v>
      </c>
      <c r="H94" s="4" t="s">
        <v>81</v>
      </c>
      <c r="I94" s="4"/>
      <c r="J94" s="4"/>
      <c r="K94" s="4">
        <v>208</v>
      </c>
      <c r="L94" s="4">
        <v>22</v>
      </c>
      <c r="M94" s="4">
        <v>3</v>
      </c>
      <c r="N94" s="4" t="s">
        <v>4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 x14ac:dyDescent="0.25">
      <c r="A95" s="4">
        <v>50</v>
      </c>
      <c r="B95" s="4">
        <v>0</v>
      </c>
      <c r="C95" s="4">
        <v>0</v>
      </c>
      <c r="D95" s="4">
        <v>1</v>
      </c>
      <c r="E95" s="4">
        <v>209</v>
      </c>
      <c r="F95" s="4">
        <f>ROUND(Source!W71,O95)</f>
        <v>0</v>
      </c>
      <c r="G95" s="4" t="s">
        <v>82</v>
      </c>
      <c r="H95" s="4" t="s">
        <v>83</v>
      </c>
      <c r="I95" s="4"/>
      <c r="J95" s="4"/>
      <c r="K95" s="4">
        <v>209</v>
      </c>
      <c r="L95" s="4">
        <v>23</v>
      </c>
      <c r="M95" s="4">
        <v>3</v>
      </c>
      <c r="N95" s="4" t="s">
        <v>4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 x14ac:dyDescent="0.25">
      <c r="A96" s="4">
        <v>50</v>
      </c>
      <c r="B96" s="4">
        <v>0</v>
      </c>
      <c r="C96" s="4">
        <v>0</v>
      </c>
      <c r="D96" s="4">
        <v>1</v>
      </c>
      <c r="E96" s="4">
        <v>233</v>
      </c>
      <c r="F96" s="4">
        <f>ROUND(Source!BD71,O96)</f>
        <v>0</v>
      </c>
      <c r="G96" s="4" t="s">
        <v>84</v>
      </c>
      <c r="H96" s="4" t="s">
        <v>85</v>
      </c>
      <c r="I96" s="4"/>
      <c r="J96" s="4"/>
      <c r="K96" s="4">
        <v>233</v>
      </c>
      <c r="L96" s="4">
        <v>24</v>
      </c>
      <c r="M96" s="4">
        <v>3</v>
      </c>
      <c r="N96" s="4" t="s">
        <v>4</v>
      </c>
      <c r="O96" s="4">
        <v>2</v>
      </c>
      <c r="P96" s="4"/>
      <c r="Q96" s="4"/>
      <c r="R96" s="4"/>
      <c r="S96" s="4"/>
      <c r="T96" s="4"/>
      <c r="U96" s="4"/>
      <c r="V96" s="4"/>
      <c r="W96" s="4"/>
    </row>
    <row r="97" spans="1:206" x14ac:dyDescent="0.25">
      <c r="A97" s="4">
        <v>50</v>
      </c>
      <c r="B97" s="4">
        <v>0</v>
      </c>
      <c r="C97" s="4">
        <v>0</v>
      </c>
      <c r="D97" s="4">
        <v>1</v>
      </c>
      <c r="E97" s="4">
        <v>210</v>
      </c>
      <c r="F97" s="4">
        <f>ROUND(Source!X71,O97)</f>
        <v>0</v>
      </c>
      <c r="G97" s="4" t="s">
        <v>86</v>
      </c>
      <c r="H97" s="4" t="s">
        <v>87</v>
      </c>
      <c r="I97" s="4"/>
      <c r="J97" s="4"/>
      <c r="K97" s="4">
        <v>210</v>
      </c>
      <c r="L97" s="4">
        <v>25</v>
      </c>
      <c r="M97" s="4">
        <v>3</v>
      </c>
      <c r="N97" s="4" t="s">
        <v>4</v>
      </c>
      <c r="O97" s="4">
        <v>2</v>
      </c>
      <c r="P97" s="4"/>
      <c r="Q97" s="4"/>
      <c r="R97" s="4"/>
      <c r="S97" s="4"/>
      <c r="T97" s="4"/>
      <c r="U97" s="4"/>
      <c r="V97" s="4"/>
      <c r="W97" s="4"/>
    </row>
    <row r="98" spans="1:206" x14ac:dyDescent="0.25">
      <c r="A98" s="4">
        <v>50</v>
      </c>
      <c r="B98" s="4">
        <v>0</v>
      </c>
      <c r="C98" s="4">
        <v>0</v>
      </c>
      <c r="D98" s="4">
        <v>1</v>
      </c>
      <c r="E98" s="4">
        <v>211</v>
      </c>
      <c r="F98" s="4">
        <f>ROUND(Source!Y71,O98)</f>
        <v>0</v>
      </c>
      <c r="G98" s="4" t="s">
        <v>88</v>
      </c>
      <c r="H98" s="4" t="s">
        <v>89</v>
      </c>
      <c r="I98" s="4"/>
      <c r="J98" s="4"/>
      <c r="K98" s="4">
        <v>211</v>
      </c>
      <c r="L98" s="4">
        <v>26</v>
      </c>
      <c r="M98" s="4">
        <v>3</v>
      </c>
      <c r="N98" s="4" t="s">
        <v>4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06" x14ac:dyDescent="0.25">
      <c r="A99" s="4">
        <v>50</v>
      </c>
      <c r="B99" s="4">
        <v>0</v>
      </c>
      <c r="C99" s="4">
        <v>0</v>
      </c>
      <c r="D99" s="4">
        <v>1</v>
      </c>
      <c r="E99" s="4">
        <v>224</v>
      </c>
      <c r="F99" s="4">
        <f>ROUND(Source!AR71,O99)</f>
        <v>2768458.82</v>
      </c>
      <c r="G99" s="4" t="s">
        <v>90</v>
      </c>
      <c r="H99" s="4" t="s">
        <v>91</v>
      </c>
      <c r="I99" s="4"/>
      <c r="J99" s="4"/>
      <c r="K99" s="4">
        <v>224</v>
      </c>
      <c r="L99" s="4">
        <v>27</v>
      </c>
      <c r="M99" s="4">
        <v>3</v>
      </c>
      <c r="N99" s="4" t="s">
        <v>4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1" spans="1:206" x14ac:dyDescent="0.25">
      <c r="A101" s="2">
        <v>51</v>
      </c>
      <c r="B101" s="2">
        <f>B20</f>
        <v>1</v>
      </c>
      <c r="C101" s="2">
        <f>A20</f>
        <v>3</v>
      </c>
      <c r="D101" s="2">
        <f>ROW(A20)</f>
        <v>20</v>
      </c>
      <c r="E101" s="2"/>
      <c r="F101" s="2" t="str">
        <f>IF(F20&lt;&gt;"",F20,"")</f>
        <v/>
      </c>
      <c r="G101" s="2" t="str">
        <f>IF(G20&lt;&gt;"",G20,"")</f>
        <v/>
      </c>
      <c r="H101" s="2">
        <v>0</v>
      </c>
      <c r="I101" s="2"/>
      <c r="J101" s="2"/>
      <c r="K101" s="2"/>
      <c r="L101" s="2"/>
      <c r="M101" s="2"/>
      <c r="N101" s="2"/>
      <c r="O101" s="2">
        <f t="shared" ref="O101:T101" si="38">ROUND(O33+O71+AB101,2)</f>
        <v>2823743.39</v>
      </c>
      <c r="P101" s="2">
        <f t="shared" si="38"/>
        <v>2768656.64</v>
      </c>
      <c r="Q101" s="2">
        <f t="shared" si="38"/>
        <v>35625.89</v>
      </c>
      <c r="R101" s="2">
        <f t="shared" si="38"/>
        <v>16390.91</v>
      </c>
      <c r="S101" s="2">
        <f t="shared" si="38"/>
        <v>19460.86</v>
      </c>
      <c r="T101" s="2">
        <f t="shared" si="38"/>
        <v>0</v>
      </c>
      <c r="U101" s="2">
        <f>U33+U71+AH101</f>
        <v>61.363204199999998</v>
      </c>
      <c r="V101" s="2">
        <f>V33+V71+AI101</f>
        <v>0</v>
      </c>
      <c r="W101" s="2">
        <f>ROUND(W33+W71+AJ101,2)</f>
        <v>0</v>
      </c>
      <c r="X101" s="2">
        <f>ROUND(X33+X71+AK101,2)</f>
        <v>17514.77</v>
      </c>
      <c r="Y101" s="2">
        <f>ROUND(Y33+Y71+AL101,2)</f>
        <v>8368.17</v>
      </c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>
        <f t="shared" ref="AO101:BD101" si="39">ROUND(AO33+AO71+BX101,2)</f>
        <v>0</v>
      </c>
      <c r="AP101" s="2">
        <f t="shared" si="39"/>
        <v>2768458.82</v>
      </c>
      <c r="AQ101" s="2">
        <f t="shared" si="39"/>
        <v>0</v>
      </c>
      <c r="AR101" s="2">
        <f t="shared" si="39"/>
        <v>2875360.07</v>
      </c>
      <c r="AS101" s="2">
        <f t="shared" si="39"/>
        <v>0</v>
      </c>
      <c r="AT101" s="2">
        <f t="shared" si="39"/>
        <v>106901.25</v>
      </c>
      <c r="AU101" s="2">
        <f t="shared" si="39"/>
        <v>0</v>
      </c>
      <c r="AV101" s="2">
        <f t="shared" si="39"/>
        <v>2768656.64</v>
      </c>
      <c r="AW101" s="2">
        <f t="shared" si="39"/>
        <v>197.82</v>
      </c>
      <c r="AX101" s="2">
        <f t="shared" si="39"/>
        <v>0</v>
      </c>
      <c r="AY101" s="2">
        <f t="shared" si="39"/>
        <v>197.82</v>
      </c>
      <c r="AZ101" s="2">
        <f t="shared" si="39"/>
        <v>2768458.82</v>
      </c>
      <c r="BA101" s="2">
        <f t="shared" si="39"/>
        <v>0</v>
      </c>
      <c r="BB101" s="2">
        <f t="shared" si="39"/>
        <v>0</v>
      </c>
      <c r="BC101" s="2">
        <f t="shared" si="39"/>
        <v>0</v>
      </c>
      <c r="BD101" s="2">
        <f t="shared" si="39"/>
        <v>0</v>
      </c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>
        <v>0</v>
      </c>
    </row>
    <row r="103" spans="1:206" x14ac:dyDescent="0.25">
      <c r="A103" s="4">
        <v>50</v>
      </c>
      <c r="B103" s="4">
        <v>1</v>
      </c>
      <c r="C103" s="4">
        <v>0</v>
      </c>
      <c r="D103" s="4">
        <v>1</v>
      </c>
      <c r="E103" s="4">
        <v>201</v>
      </c>
      <c r="F103" s="4">
        <f>ROUND(Source!O101,O103)</f>
        <v>2823743.39</v>
      </c>
      <c r="G103" s="4" t="s">
        <v>38</v>
      </c>
      <c r="H103" s="4" t="s">
        <v>39</v>
      </c>
      <c r="I103" s="4"/>
      <c r="J103" s="4"/>
      <c r="K103" s="4">
        <v>201</v>
      </c>
      <c r="L103" s="4">
        <v>1</v>
      </c>
      <c r="M103" s="4">
        <v>1</v>
      </c>
      <c r="N103" s="4" t="s">
        <v>4</v>
      </c>
      <c r="O103" s="4">
        <v>2</v>
      </c>
      <c r="P103" s="4"/>
      <c r="Q103" s="4"/>
      <c r="R103" s="4"/>
      <c r="S103" s="4"/>
      <c r="T103" s="4"/>
      <c r="U103" s="4"/>
      <c r="V103" s="4"/>
      <c r="W103" s="4"/>
    </row>
    <row r="104" spans="1:206" x14ac:dyDescent="0.25">
      <c r="A104" s="4">
        <v>50</v>
      </c>
      <c r="B104" s="4">
        <v>1</v>
      </c>
      <c r="C104" s="4">
        <v>0</v>
      </c>
      <c r="D104" s="4">
        <v>1</v>
      </c>
      <c r="E104" s="4">
        <v>202</v>
      </c>
      <c r="F104" s="4">
        <f>ROUND(Source!P101,O104)</f>
        <v>2768656.64</v>
      </c>
      <c r="G104" s="4" t="s">
        <v>40</v>
      </c>
      <c r="H104" s="4" t="s">
        <v>41</v>
      </c>
      <c r="I104" s="4"/>
      <c r="J104" s="4"/>
      <c r="K104" s="4">
        <v>202</v>
      </c>
      <c r="L104" s="4">
        <v>2</v>
      </c>
      <c r="M104" s="4">
        <v>1</v>
      </c>
      <c r="N104" s="4" t="s">
        <v>4</v>
      </c>
      <c r="O104" s="4">
        <v>2</v>
      </c>
      <c r="P104" s="4"/>
      <c r="Q104" s="4"/>
      <c r="R104" s="4"/>
      <c r="S104" s="4"/>
      <c r="T104" s="4"/>
      <c r="U104" s="4"/>
      <c r="V104" s="4"/>
      <c r="W104" s="4"/>
    </row>
    <row r="105" spans="1:206" x14ac:dyDescent="0.25">
      <c r="A105" s="4">
        <v>50</v>
      </c>
      <c r="B105" s="4">
        <v>0</v>
      </c>
      <c r="C105" s="4">
        <v>0</v>
      </c>
      <c r="D105" s="4">
        <v>1</v>
      </c>
      <c r="E105" s="4">
        <v>227</v>
      </c>
      <c r="F105" s="4">
        <f>ROUND(Source!AO101,O105)</f>
        <v>0</v>
      </c>
      <c r="G105" s="4" t="s">
        <v>42</v>
      </c>
      <c r="H105" s="4" t="s">
        <v>43</v>
      </c>
      <c r="I105" s="4"/>
      <c r="J105" s="4"/>
      <c r="K105" s="4">
        <v>222</v>
      </c>
      <c r="L105" s="4">
        <v>3</v>
      </c>
      <c r="M105" s="4">
        <v>1</v>
      </c>
      <c r="N105" s="4" t="s">
        <v>4</v>
      </c>
      <c r="O105" s="4">
        <v>2</v>
      </c>
      <c r="P105" s="4"/>
      <c r="Q105" s="4"/>
      <c r="R105" s="4"/>
      <c r="S105" s="4"/>
      <c r="T105" s="4"/>
      <c r="U105" s="4"/>
      <c r="V105" s="4"/>
      <c r="W105" s="4"/>
    </row>
    <row r="106" spans="1:206" x14ac:dyDescent="0.25">
      <c r="A106" s="4">
        <v>50</v>
      </c>
      <c r="B106" s="4">
        <v>0</v>
      </c>
      <c r="C106" s="4">
        <v>0</v>
      </c>
      <c r="D106" s="4">
        <v>1</v>
      </c>
      <c r="E106" s="4">
        <v>225</v>
      </c>
      <c r="F106" s="4">
        <f>ROUND(Source!AV101,O106)</f>
        <v>2768656.64</v>
      </c>
      <c r="G106" s="4" t="s">
        <v>44</v>
      </c>
      <c r="H106" s="4" t="s">
        <v>45</v>
      </c>
      <c r="I106" s="4"/>
      <c r="J106" s="4"/>
      <c r="K106" s="4">
        <v>225</v>
      </c>
      <c r="L106" s="4">
        <v>4</v>
      </c>
      <c r="M106" s="4">
        <v>3</v>
      </c>
      <c r="N106" s="4" t="s">
        <v>4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06" x14ac:dyDescent="0.25">
      <c r="A107" s="4">
        <v>50</v>
      </c>
      <c r="B107" s="4">
        <v>0</v>
      </c>
      <c r="C107" s="4">
        <v>0</v>
      </c>
      <c r="D107" s="4">
        <v>1</v>
      </c>
      <c r="E107" s="4">
        <v>226</v>
      </c>
      <c r="F107" s="4">
        <f>ROUND(Source!AW101,O107)</f>
        <v>197.82</v>
      </c>
      <c r="G107" s="4" t="s">
        <v>46</v>
      </c>
      <c r="H107" s="4" t="s">
        <v>47</v>
      </c>
      <c r="I107" s="4"/>
      <c r="J107" s="4"/>
      <c r="K107" s="4">
        <v>226</v>
      </c>
      <c r="L107" s="4">
        <v>5</v>
      </c>
      <c r="M107" s="4">
        <v>3</v>
      </c>
      <c r="N107" s="4" t="s">
        <v>4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06" x14ac:dyDescent="0.25">
      <c r="A108" s="4">
        <v>50</v>
      </c>
      <c r="B108" s="4">
        <v>0</v>
      </c>
      <c r="C108" s="4">
        <v>0</v>
      </c>
      <c r="D108" s="4">
        <v>1</v>
      </c>
      <c r="E108" s="4">
        <v>0</v>
      </c>
      <c r="F108" s="4">
        <f>ROUND(Source!AX101,O108)</f>
        <v>0</v>
      </c>
      <c r="G108" s="4" t="s">
        <v>48</v>
      </c>
      <c r="H108" s="4" t="s">
        <v>49</v>
      </c>
      <c r="I108" s="4"/>
      <c r="J108" s="4"/>
      <c r="K108" s="4">
        <v>227</v>
      </c>
      <c r="L108" s="4">
        <v>6</v>
      </c>
      <c r="M108" s="4">
        <v>3</v>
      </c>
      <c r="N108" s="4" t="s">
        <v>4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 x14ac:dyDescent="0.25">
      <c r="A109" s="4">
        <v>50</v>
      </c>
      <c r="B109" s="4">
        <v>0</v>
      </c>
      <c r="C109" s="4">
        <v>0</v>
      </c>
      <c r="D109" s="4">
        <v>1</v>
      </c>
      <c r="E109" s="4">
        <v>228</v>
      </c>
      <c r="F109" s="4">
        <f>ROUND(Source!AY101,O109)</f>
        <v>197.82</v>
      </c>
      <c r="G109" s="4" t="s">
        <v>50</v>
      </c>
      <c r="H109" s="4" t="s">
        <v>51</v>
      </c>
      <c r="I109" s="4"/>
      <c r="J109" s="4"/>
      <c r="K109" s="4">
        <v>228</v>
      </c>
      <c r="L109" s="4">
        <v>7</v>
      </c>
      <c r="M109" s="4">
        <v>3</v>
      </c>
      <c r="N109" s="4" t="s">
        <v>4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 x14ac:dyDescent="0.25">
      <c r="A110" s="4">
        <v>50</v>
      </c>
      <c r="B110" s="4">
        <v>1</v>
      </c>
      <c r="C110" s="4">
        <v>0</v>
      </c>
      <c r="D110" s="4">
        <v>1</v>
      </c>
      <c r="E110" s="4">
        <v>216</v>
      </c>
      <c r="F110" s="4">
        <f>ROUND(Source!AP101,O110)</f>
        <v>2768458.82</v>
      </c>
      <c r="G110" s="4" t="s">
        <v>52</v>
      </c>
      <c r="H110" s="4" t="s">
        <v>53</v>
      </c>
      <c r="I110" s="4"/>
      <c r="J110" s="4"/>
      <c r="K110" s="4">
        <v>216</v>
      </c>
      <c r="L110" s="4">
        <v>8</v>
      </c>
      <c r="M110" s="4">
        <v>1</v>
      </c>
      <c r="N110" s="4" t="s">
        <v>4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 x14ac:dyDescent="0.25">
      <c r="A111" s="4">
        <v>50</v>
      </c>
      <c r="B111" s="4">
        <v>0</v>
      </c>
      <c r="C111" s="4">
        <v>0</v>
      </c>
      <c r="D111" s="4">
        <v>1</v>
      </c>
      <c r="E111" s="4">
        <v>223</v>
      </c>
      <c r="F111" s="4">
        <f>ROUND(Source!AQ101,O111)</f>
        <v>0</v>
      </c>
      <c r="G111" s="4" t="s">
        <v>54</v>
      </c>
      <c r="H111" s="4" t="s">
        <v>55</v>
      </c>
      <c r="I111" s="4"/>
      <c r="J111" s="4"/>
      <c r="K111" s="4">
        <v>223</v>
      </c>
      <c r="L111" s="4">
        <v>9</v>
      </c>
      <c r="M111" s="4">
        <v>1</v>
      </c>
      <c r="N111" s="4" t="s">
        <v>4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 x14ac:dyDescent="0.25">
      <c r="A112" s="4">
        <v>50</v>
      </c>
      <c r="B112" s="4">
        <v>0</v>
      </c>
      <c r="C112" s="4">
        <v>0</v>
      </c>
      <c r="D112" s="4">
        <v>1</v>
      </c>
      <c r="E112" s="4">
        <v>229</v>
      </c>
      <c r="F112" s="4">
        <f>ROUND(Source!AZ101,O112)</f>
        <v>2768458.82</v>
      </c>
      <c r="G112" s="4" t="s">
        <v>56</v>
      </c>
      <c r="H112" s="4" t="s">
        <v>57</v>
      </c>
      <c r="I112" s="4"/>
      <c r="J112" s="4"/>
      <c r="K112" s="4">
        <v>229</v>
      </c>
      <c r="L112" s="4">
        <v>10</v>
      </c>
      <c r="M112" s="4">
        <v>3</v>
      </c>
      <c r="N112" s="4" t="s">
        <v>4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 x14ac:dyDescent="0.25">
      <c r="A113" s="4">
        <v>50</v>
      </c>
      <c r="B113" s="4">
        <v>1</v>
      </c>
      <c r="C113" s="4">
        <v>0</v>
      </c>
      <c r="D113" s="4">
        <v>1</v>
      </c>
      <c r="E113" s="4">
        <v>203</v>
      </c>
      <c r="F113" s="4">
        <f>ROUND(Source!Q101,O113)</f>
        <v>35625.89</v>
      </c>
      <c r="G113" s="4" t="s">
        <v>58</v>
      </c>
      <c r="H113" s="4" t="s">
        <v>59</v>
      </c>
      <c r="I113" s="4"/>
      <c r="J113" s="4"/>
      <c r="K113" s="4">
        <v>203</v>
      </c>
      <c r="L113" s="4">
        <v>11</v>
      </c>
      <c r="M113" s="4">
        <v>1</v>
      </c>
      <c r="N113" s="4" t="s">
        <v>4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 x14ac:dyDescent="0.25">
      <c r="A114" s="4">
        <v>50</v>
      </c>
      <c r="B114" s="4">
        <v>0</v>
      </c>
      <c r="C114" s="4">
        <v>0</v>
      </c>
      <c r="D114" s="4">
        <v>1</v>
      </c>
      <c r="E114" s="4">
        <v>231</v>
      </c>
      <c r="F114" s="4">
        <f>ROUND(Source!BB101,O114)</f>
        <v>0</v>
      </c>
      <c r="G114" s="4" t="s">
        <v>60</v>
      </c>
      <c r="H114" s="4" t="s">
        <v>61</v>
      </c>
      <c r="I114" s="4"/>
      <c r="J114" s="4"/>
      <c r="K114" s="4">
        <v>231</v>
      </c>
      <c r="L114" s="4">
        <v>12</v>
      </c>
      <c r="M114" s="4">
        <v>3</v>
      </c>
      <c r="N114" s="4" t="s">
        <v>4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 x14ac:dyDescent="0.25">
      <c r="A115" s="4">
        <v>50</v>
      </c>
      <c r="B115" s="4">
        <v>1</v>
      </c>
      <c r="C115" s="4">
        <v>0</v>
      </c>
      <c r="D115" s="4">
        <v>1</v>
      </c>
      <c r="E115" s="4">
        <v>204</v>
      </c>
      <c r="F115" s="4">
        <f>ROUND(Source!R101,O115)</f>
        <v>16390.91</v>
      </c>
      <c r="G115" s="4" t="s">
        <v>62</v>
      </c>
      <c r="H115" s="4" t="s">
        <v>63</v>
      </c>
      <c r="I115" s="4"/>
      <c r="J115" s="4"/>
      <c r="K115" s="4">
        <v>204</v>
      </c>
      <c r="L115" s="4">
        <v>13</v>
      </c>
      <c r="M115" s="4">
        <v>1</v>
      </c>
      <c r="N115" s="4" t="s">
        <v>4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 x14ac:dyDescent="0.25">
      <c r="A116" s="4">
        <v>50</v>
      </c>
      <c r="B116" s="4">
        <v>1</v>
      </c>
      <c r="C116" s="4">
        <v>0</v>
      </c>
      <c r="D116" s="4">
        <v>1</v>
      </c>
      <c r="E116" s="4">
        <v>205</v>
      </c>
      <c r="F116" s="4">
        <f>ROUND(Source!S101,O116)</f>
        <v>19460.86</v>
      </c>
      <c r="G116" s="4" t="s">
        <v>64</v>
      </c>
      <c r="H116" s="4" t="s">
        <v>65</v>
      </c>
      <c r="I116" s="4"/>
      <c r="J116" s="4"/>
      <c r="K116" s="4">
        <v>205</v>
      </c>
      <c r="L116" s="4">
        <v>14</v>
      </c>
      <c r="M116" s="4">
        <v>1</v>
      </c>
      <c r="N116" s="4" t="s">
        <v>4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 x14ac:dyDescent="0.25">
      <c r="A117" s="4">
        <v>50</v>
      </c>
      <c r="B117" s="4">
        <v>0</v>
      </c>
      <c r="C117" s="4">
        <v>0</v>
      </c>
      <c r="D117" s="4">
        <v>1</v>
      </c>
      <c r="E117" s="4">
        <v>232</v>
      </c>
      <c r="F117" s="4">
        <f>ROUND(Source!BC101,O117)</f>
        <v>0</v>
      </c>
      <c r="G117" s="4" t="s">
        <v>66</v>
      </c>
      <c r="H117" s="4" t="s">
        <v>67</v>
      </c>
      <c r="I117" s="4"/>
      <c r="J117" s="4"/>
      <c r="K117" s="4">
        <v>232</v>
      </c>
      <c r="L117" s="4">
        <v>15</v>
      </c>
      <c r="M117" s="4">
        <v>3</v>
      </c>
      <c r="N117" s="4" t="s">
        <v>4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 x14ac:dyDescent="0.25">
      <c r="A118" s="4">
        <v>50</v>
      </c>
      <c r="B118" s="4">
        <v>0</v>
      </c>
      <c r="C118" s="4">
        <v>0</v>
      </c>
      <c r="D118" s="4">
        <v>1</v>
      </c>
      <c r="E118" s="4">
        <v>214</v>
      </c>
      <c r="F118" s="4">
        <f>ROUND(Source!AS101,O118)</f>
        <v>0</v>
      </c>
      <c r="G118" s="4" t="s">
        <v>68</v>
      </c>
      <c r="H118" s="4" t="s">
        <v>69</v>
      </c>
      <c r="I118" s="4"/>
      <c r="J118" s="4"/>
      <c r="K118" s="4">
        <v>214</v>
      </c>
      <c r="L118" s="4">
        <v>16</v>
      </c>
      <c r="M118" s="4">
        <v>1</v>
      </c>
      <c r="N118" s="4" t="s">
        <v>4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 x14ac:dyDescent="0.25">
      <c r="A119" s="4">
        <v>50</v>
      </c>
      <c r="B119" s="4">
        <v>1</v>
      </c>
      <c r="C119" s="4">
        <v>0</v>
      </c>
      <c r="D119" s="4">
        <v>1</v>
      </c>
      <c r="E119" s="4">
        <v>215</v>
      </c>
      <c r="F119" s="4">
        <f>ROUND(Source!AT101,O119)</f>
        <v>106901.25</v>
      </c>
      <c r="G119" s="4" t="s">
        <v>70</v>
      </c>
      <c r="H119" s="4" t="s">
        <v>71</v>
      </c>
      <c r="I119" s="4"/>
      <c r="J119" s="4"/>
      <c r="K119" s="4">
        <v>215</v>
      </c>
      <c r="L119" s="4">
        <v>17</v>
      </c>
      <c r="M119" s="4">
        <v>1</v>
      </c>
      <c r="N119" s="4" t="s">
        <v>4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 x14ac:dyDescent="0.25">
      <c r="A120" s="4">
        <v>50</v>
      </c>
      <c r="B120" s="4">
        <v>0</v>
      </c>
      <c r="C120" s="4">
        <v>0</v>
      </c>
      <c r="D120" s="4">
        <v>1</v>
      </c>
      <c r="E120" s="4">
        <v>217</v>
      </c>
      <c r="F120" s="4">
        <f>ROUND(Source!AU101,O120)</f>
        <v>0</v>
      </c>
      <c r="G120" s="4" t="s">
        <v>72</v>
      </c>
      <c r="H120" s="4" t="s">
        <v>73</v>
      </c>
      <c r="I120" s="4"/>
      <c r="J120" s="4"/>
      <c r="K120" s="4">
        <v>217</v>
      </c>
      <c r="L120" s="4">
        <v>18</v>
      </c>
      <c r="M120" s="4">
        <v>1</v>
      </c>
      <c r="N120" s="4" t="s">
        <v>4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 x14ac:dyDescent="0.25">
      <c r="A121" s="4">
        <v>50</v>
      </c>
      <c r="B121" s="4">
        <v>0</v>
      </c>
      <c r="C121" s="4">
        <v>0</v>
      </c>
      <c r="D121" s="4">
        <v>1</v>
      </c>
      <c r="E121" s="4">
        <v>230</v>
      </c>
      <c r="F121" s="4">
        <f>ROUND(Source!BA101,O121)</f>
        <v>0</v>
      </c>
      <c r="G121" s="4" t="s">
        <v>74</v>
      </c>
      <c r="H121" s="4" t="s">
        <v>75</v>
      </c>
      <c r="I121" s="4"/>
      <c r="J121" s="4"/>
      <c r="K121" s="4">
        <v>230</v>
      </c>
      <c r="L121" s="4">
        <v>19</v>
      </c>
      <c r="M121" s="4">
        <v>3</v>
      </c>
      <c r="N121" s="4" t="s">
        <v>4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 x14ac:dyDescent="0.25">
      <c r="A122" s="4">
        <v>50</v>
      </c>
      <c r="B122" s="4">
        <v>0</v>
      </c>
      <c r="C122" s="4">
        <v>0</v>
      </c>
      <c r="D122" s="4">
        <v>1</v>
      </c>
      <c r="E122" s="4">
        <v>206</v>
      </c>
      <c r="F122" s="4">
        <f>ROUND(Source!T101,O122)</f>
        <v>0</v>
      </c>
      <c r="G122" s="4" t="s">
        <v>76</v>
      </c>
      <c r="H122" s="4" t="s">
        <v>77</v>
      </c>
      <c r="I122" s="4"/>
      <c r="J122" s="4"/>
      <c r="K122" s="4">
        <v>206</v>
      </c>
      <c r="L122" s="4">
        <v>20</v>
      </c>
      <c r="M122" s="4">
        <v>1</v>
      </c>
      <c r="N122" s="4" t="s">
        <v>4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 x14ac:dyDescent="0.25">
      <c r="A123" s="4">
        <v>50</v>
      </c>
      <c r="B123" s="4">
        <v>1</v>
      </c>
      <c r="C123" s="4">
        <v>0</v>
      </c>
      <c r="D123" s="4">
        <v>1</v>
      </c>
      <c r="E123" s="4">
        <v>207</v>
      </c>
      <c r="F123" s="4">
        <f>ROUND(Source!U101,O123)</f>
        <v>61.36</v>
      </c>
      <c r="G123" s="4" t="s">
        <v>78</v>
      </c>
      <c r="H123" s="4" t="s">
        <v>79</v>
      </c>
      <c r="I123" s="4"/>
      <c r="J123" s="4"/>
      <c r="K123" s="4">
        <v>207</v>
      </c>
      <c r="L123" s="4">
        <v>21</v>
      </c>
      <c r="M123" s="4">
        <v>1</v>
      </c>
      <c r="N123" s="4" t="s">
        <v>4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 x14ac:dyDescent="0.25">
      <c r="A124" s="4">
        <v>50</v>
      </c>
      <c r="B124" s="4">
        <v>0</v>
      </c>
      <c r="C124" s="4">
        <v>0</v>
      </c>
      <c r="D124" s="4">
        <v>1</v>
      </c>
      <c r="E124" s="4">
        <v>208</v>
      </c>
      <c r="F124" s="4">
        <f>ROUND(Source!V101,O124)</f>
        <v>0</v>
      </c>
      <c r="G124" s="4" t="s">
        <v>80</v>
      </c>
      <c r="H124" s="4" t="s">
        <v>81</v>
      </c>
      <c r="I124" s="4"/>
      <c r="J124" s="4"/>
      <c r="K124" s="4">
        <v>208</v>
      </c>
      <c r="L124" s="4">
        <v>22</v>
      </c>
      <c r="M124" s="4">
        <v>1</v>
      </c>
      <c r="N124" s="4" t="s">
        <v>4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 x14ac:dyDescent="0.25">
      <c r="A125" s="4">
        <v>50</v>
      </c>
      <c r="B125" s="4">
        <v>0</v>
      </c>
      <c r="C125" s="4">
        <v>0</v>
      </c>
      <c r="D125" s="4">
        <v>1</v>
      </c>
      <c r="E125" s="4">
        <v>209</v>
      </c>
      <c r="F125" s="4">
        <f>ROUND(Source!W101,O125)</f>
        <v>0</v>
      </c>
      <c r="G125" s="4" t="s">
        <v>82</v>
      </c>
      <c r="H125" s="4" t="s">
        <v>83</v>
      </c>
      <c r="I125" s="4"/>
      <c r="J125" s="4"/>
      <c r="K125" s="4">
        <v>209</v>
      </c>
      <c r="L125" s="4">
        <v>23</v>
      </c>
      <c r="M125" s="4">
        <v>1</v>
      </c>
      <c r="N125" s="4" t="s">
        <v>4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 x14ac:dyDescent="0.25">
      <c r="A126" s="4">
        <v>50</v>
      </c>
      <c r="B126" s="4">
        <v>0</v>
      </c>
      <c r="C126" s="4">
        <v>0</v>
      </c>
      <c r="D126" s="4">
        <v>1</v>
      </c>
      <c r="E126" s="4">
        <v>233</v>
      </c>
      <c r="F126" s="4">
        <f>ROUND(Source!BD101,O126)</f>
        <v>0</v>
      </c>
      <c r="G126" s="4" t="s">
        <v>84</v>
      </c>
      <c r="H126" s="4" t="s">
        <v>85</v>
      </c>
      <c r="I126" s="4"/>
      <c r="J126" s="4"/>
      <c r="K126" s="4">
        <v>233</v>
      </c>
      <c r="L126" s="4">
        <v>24</v>
      </c>
      <c r="M126" s="4">
        <v>3</v>
      </c>
      <c r="N126" s="4" t="s">
        <v>4</v>
      </c>
      <c r="O126" s="4">
        <v>2</v>
      </c>
      <c r="P126" s="4"/>
      <c r="Q126" s="4"/>
      <c r="R126" s="4"/>
      <c r="S126" s="4"/>
      <c r="T126" s="4"/>
      <c r="U126" s="4"/>
      <c r="V126" s="4"/>
      <c r="W126" s="4"/>
    </row>
    <row r="127" spans="1:23" x14ac:dyDescent="0.25">
      <c r="A127" s="4">
        <v>50</v>
      </c>
      <c r="B127" s="4">
        <v>1</v>
      </c>
      <c r="C127" s="4">
        <v>0</v>
      </c>
      <c r="D127" s="4">
        <v>1</v>
      </c>
      <c r="E127" s="4">
        <v>210</v>
      </c>
      <c r="F127" s="4">
        <f>ROUND(Source!X101,O127)</f>
        <v>17514.77</v>
      </c>
      <c r="G127" s="4" t="s">
        <v>86</v>
      </c>
      <c r="H127" s="4" t="s">
        <v>87</v>
      </c>
      <c r="I127" s="4"/>
      <c r="J127" s="4"/>
      <c r="K127" s="4">
        <v>210</v>
      </c>
      <c r="L127" s="4">
        <v>25</v>
      </c>
      <c r="M127" s="4">
        <v>1</v>
      </c>
      <c r="N127" s="4" t="s">
        <v>4</v>
      </c>
      <c r="O127" s="4">
        <v>2</v>
      </c>
      <c r="P127" s="4"/>
      <c r="Q127" s="4"/>
      <c r="R127" s="4"/>
      <c r="S127" s="4"/>
      <c r="T127" s="4"/>
      <c r="U127" s="4"/>
      <c r="V127" s="4"/>
      <c r="W127" s="4"/>
    </row>
    <row r="128" spans="1:23" x14ac:dyDescent="0.25">
      <c r="A128" s="4">
        <v>50</v>
      </c>
      <c r="B128" s="4">
        <v>1</v>
      </c>
      <c r="C128" s="4">
        <v>0</v>
      </c>
      <c r="D128" s="4">
        <v>1</v>
      </c>
      <c r="E128" s="4">
        <v>211</v>
      </c>
      <c r="F128" s="4">
        <f>ROUND(Source!Y101,O128)</f>
        <v>8368.17</v>
      </c>
      <c r="G128" s="4" t="s">
        <v>88</v>
      </c>
      <c r="H128" s="4" t="s">
        <v>89</v>
      </c>
      <c r="I128" s="4"/>
      <c r="J128" s="4"/>
      <c r="K128" s="4">
        <v>211</v>
      </c>
      <c r="L128" s="4">
        <v>26</v>
      </c>
      <c r="M128" s="4">
        <v>1</v>
      </c>
      <c r="N128" s="4" t="s">
        <v>4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06" x14ac:dyDescent="0.25">
      <c r="A129" s="4">
        <v>50</v>
      </c>
      <c r="B129" s="4">
        <v>1</v>
      </c>
      <c r="C129" s="4">
        <v>0</v>
      </c>
      <c r="D129" s="4">
        <v>1</v>
      </c>
      <c r="E129" s="4">
        <v>224</v>
      </c>
      <c r="F129" s="4">
        <f>ROUND(Source!AR101,O129)</f>
        <v>2875360.07</v>
      </c>
      <c r="G129" s="4" t="s">
        <v>90</v>
      </c>
      <c r="H129" s="4" t="s">
        <v>91</v>
      </c>
      <c r="I129" s="4"/>
      <c r="J129" s="4"/>
      <c r="K129" s="4">
        <v>224</v>
      </c>
      <c r="L129" s="4">
        <v>27</v>
      </c>
      <c r="M129" s="4">
        <v>1</v>
      </c>
      <c r="N129" s="4" t="s">
        <v>4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1" spans="1:206" x14ac:dyDescent="0.25">
      <c r="A131" s="2">
        <v>51</v>
      </c>
      <c r="B131" s="2">
        <f>B12</f>
        <v>164</v>
      </c>
      <c r="C131" s="2">
        <f>A12</f>
        <v>1</v>
      </c>
      <c r="D131" s="2">
        <f>ROW(A12)</f>
        <v>12</v>
      </c>
      <c r="E131" s="2"/>
      <c r="F131" s="2" t="str">
        <f>IF(F12&lt;&gt;"",F12,"")</f>
        <v/>
      </c>
      <c r="G131" s="2" t="str">
        <f>IF(G12&lt;&gt;"",G12,"")</f>
        <v/>
      </c>
      <c r="H131" s="2">
        <v>0</v>
      </c>
      <c r="I131" s="2"/>
      <c r="J131" s="2"/>
      <c r="K131" s="2"/>
      <c r="L131" s="2"/>
      <c r="M131" s="2"/>
      <c r="N131" s="2"/>
      <c r="O131" s="2">
        <f t="shared" ref="O131:T131" si="40">ROUND(O101,2)</f>
        <v>2823743.39</v>
      </c>
      <c r="P131" s="2">
        <f t="shared" si="40"/>
        <v>2768656.64</v>
      </c>
      <c r="Q131" s="2">
        <f t="shared" si="40"/>
        <v>35625.89</v>
      </c>
      <c r="R131" s="2">
        <f t="shared" si="40"/>
        <v>16390.91</v>
      </c>
      <c r="S131" s="2">
        <f t="shared" si="40"/>
        <v>19460.86</v>
      </c>
      <c r="T131" s="2">
        <f t="shared" si="40"/>
        <v>0</v>
      </c>
      <c r="U131" s="2">
        <f>U101</f>
        <v>61.363204199999998</v>
      </c>
      <c r="V131" s="2">
        <f>V101</f>
        <v>0</v>
      </c>
      <c r="W131" s="2">
        <f>ROUND(W101,2)</f>
        <v>0</v>
      </c>
      <c r="X131" s="2">
        <f>ROUND(X101,2)</f>
        <v>17514.77</v>
      </c>
      <c r="Y131" s="2">
        <f>ROUND(Y101,2)</f>
        <v>8368.17</v>
      </c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>
        <f t="shared" ref="AO131:BD131" si="41">ROUND(AO101,2)</f>
        <v>0</v>
      </c>
      <c r="AP131" s="2">
        <f t="shared" si="41"/>
        <v>2768458.82</v>
      </c>
      <c r="AQ131" s="2">
        <f t="shared" si="41"/>
        <v>0</v>
      </c>
      <c r="AR131" s="2">
        <f t="shared" si="41"/>
        <v>2875360.07</v>
      </c>
      <c r="AS131" s="2">
        <f t="shared" si="41"/>
        <v>0</v>
      </c>
      <c r="AT131" s="2">
        <f t="shared" si="41"/>
        <v>106901.25</v>
      </c>
      <c r="AU131" s="2">
        <f t="shared" si="41"/>
        <v>0</v>
      </c>
      <c r="AV131" s="2">
        <f t="shared" si="41"/>
        <v>2768656.64</v>
      </c>
      <c r="AW131" s="2">
        <f t="shared" si="41"/>
        <v>197.82</v>
      </c>
      <c r="AX131" s="2">
        <f t="shared" si="41"/>
        <v>0</v>
      </c>
      <c r="AY131" s="2">
        <f t="shared" si="41"/>
        <v>197.82</v>
      </c>
      <c r="AZ131" s="2">
        <f t="shared" si="41"/>
        <v>2768458.82</v>
      </c>
      <c r="BA131" s="2">
        <f t="shared" si="41"/>
        <v>0</v>
      </c>
      <c r="BB131" s="2">
        <f t="shared" si="41"/>
        <v>0</v>
      </c>
      <c r="BC131" s="2">
        <f t="shared" si="41"/>
        <v>0</v>
      </c>
      <c r="BD131" s="2">
        <f t="shared" si="41"/>
        <v>0</v>
      </c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>
        <v>0</v>
      </c>
    </row>
    <row r="133" spans="1:206" x14ac:dyDescent="0.25">
      <c r="A133" s="4">
        <v>50</v>
      </c>
      <c r="B133" s="4">
        <v>0</v>
      </c>
      <c r="C133" s="4">
        <v>0</v>
      </c>
      <c r="D133" s="4">
        <v>1</v>
      </c>
      <c r="E133" s="4">
        <v>201</v>
      </c>
      <c r="F133" s="4">
        <f>ROUND(Source!O131,O133)</f>
        <v>2823743.39</v>
      </c>
      <c r="G133" s="4" t="s">
        <v>38</v>
      </c>
      <c r="H133" s="4" t="s">
        <v>39</v>
      </c>
      <c r="I133" s="4"/>
      <c r="J133" s="4"/>
      <c r="K133" s="4">
        <v>201</v>
      </c>
      <c r="L133" s="4">
        <v>1</v>
      </c>
      <c r="M133" s="4">
        <v>3</v>
      </c>
      <c r="N133" s="4" t="s">
        <v>4</v>
      </c>
      <c r="O133" s="4">
        <v>2</v>
      </c>
      <c r="P133" s="4"/>
      <c r="Q133" s="4"/>
      <c r="R133" s="4"/>
      <c r="S133" s="4"/>
      <c r="T133" s="4"/>
      <c r="U133" s="4"/>
      <c r="V133" s="4"/>
      <c r="W133" s="4"/>
    </row>
    <row r="134" spans="1:206" x14ac:dyDescent="0.25">
      <c r="A134" s="4">
        <v>50</v>
      </c>
      <c r="B134" s="4">
        <v>0</v>
      </c>
      <c r="C134" s="4">
        <v>0</v>
      </c>
      <c r="D134" s="4">
        <v>1</v>
      </c>
      <c r="E134" s="4">
        <v>202</v>
      </c>
      <c r="F134" s="4">
        <f>ROUND(Source!P131,O134)</f>
        <v>2768656.64</v>
      </c>
      <c r="G134" s="4" t="s">
        <v>40</v>
      </c>
      <c r="H134" s="4" t="s">
        <v>41</v>
      </c>
      <c r="I134" s="4"/>
      <c r="J134" s="4"/>
      <c r="K134" s="4">
        <v>202</v>
      </c>
      <c r="L134" s="4">
        <v>2</v>
      </c>
      <c r="M134" s="4">
        <v>3</v>
      </c>
      <c r="N134" s="4" t="s">
        <v>4</v>
      </c>
      <c r="O134" s="4">
        <v>2</v>
      </c>
      <c r="P134" s="4"/>
      <c r="Q134" s="4"/>
      <c r="R134" s="4"/>
      <c r="S134" s="4"/>
      <c r="T134" s="4"/>
      <c r="U134" s="4"/>
      <c r="V134" s="4"/>
      <c r="W134" s="4"/>
    </row>
    <row r="135" spans="1:206" x14ac:dyDescent="0.25">
      <c r="A135" s="4">
        <v>50</v>
      </c>
      <c r="B135" s="4">
        <v>0</v>
      </c>
      <c r="C135" s="4">
        <v>0</v>
      </c>
      <c r="D135" s="4">
        <v>1</v>
      </c>
      <c r="E135" s="4">
        <v>227</v>
      </c>
      <c r="F135" s="4">
        <f>ROUND(Source!AO131,O135)</f>
        <v>0</v>
      </c>
      <c r="G135" s="4" t="s">
        <v>42</v>
      </c>
      <c r="H135" s="4" t="s">
        <v>43</v>
      </c>
      <c r="I135" s="4"/>
      <c r="J135" s="4"/>
      <c r="K135" s="4">
        <v>222</v>
      </c>
      <c r="L135" s="4">
        <v>3</v>
      </c>
      <c r="M135" s="4">
        <v>3</v>
      </c>
      <c r="N135" s="4" t="s">
        <v>4</v>
      </c>
      <c r="O135" s="4">
        <v>2</v>
      </c>
      <c r="P135" s="4"/>
      <c r="Q135" s="4"/>
      <c r="R135" s="4"/>
      <c r="S135" s="4"/>
      <c r="T135" s="4"/>
      <c r="U135" s="4"/>
      <c r="V135" s="4"/>
      <c r="W135" s="4"/>
    </row>
    <row r="136" spans="1:206" x14ac:dyDescent="0.25">
      <c r="A136" s="4">
        <v>50</v>
      </c>
      <c r="B136" s="4">
        <v>0</v>
      </c>
      <c r="C136" s="4">
        <v>0</v>
      </c>
      <c r="D136" s="4">
        <v>1</v>
      </c>
      <c r="E136" s="4">
        <v>225</v>
      </c>
      <c r="F136" s="4">
        <f>ROUND(Source!AV131,O136)</f>
        <v>2768656.64</v>
      </c>
      <c r="G136" s="4" t="s">
        <v>44</v>
      </c>
      <c r="H136" s="4" t="s">
        <v>45</v>
      </c>
      <c r="I136" s="4"/>
      <c r="J136" s="4"/>
      <c r="K136" s="4">
        <v>225</v>
      </c>
      <c r="L136" s="4">
        <v>4</v>
      </c>
      <c r="M136" s="4">
        <v>3</v>
      </c>
      <c r="N136" s="4" t="s">
        <v>4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 x14ac:dyDescent="0.25">
      <c r="A137" s="4">
        <v>50</v>
      </c>
      <c r="B137" s="4">
        <v>0</v>
      </c>
      <c r="C137" s="4">
        <v>0</v>
      </c>
      <c r="D137" s="4">
        <v>1</v>
      </c>
      <c r="E137" s="4">
        <v>226</v>
      </c>
      <c r="F137" s="4">
        <f>ROUND(Source!AW131,O137)</f>
        <v>197.82</v>
      </c>
      <c r="G137" s="4" t="s">
        <v>46</v>
      </c>
      <c r="H137" s="4" t="s">
        <v>47</v>
      </c>
      <c r="I137" s="4"/>
      <c r="J137" s="4"/>
      <c r="K137" s="4">
        <v>226</v>
      </c>
      <c r="L137" s="4">
        <v>5</v>
      </c>
      <c r="M137" s="4">
        <v>3</v>
      </c>
      <c r="N137" s="4" t="s">
        <v>4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 x14ac:dyDescent="0.25">
      <c r="A138" s="4">
        <v>50</v>
      </c>
      <c r="B138" s="4">
        <v>0</v>
      </c>
      <c r="C138" s="4">
        <v>0</v>
      </c>
      <c r="D138" s="4">
        <v>1</v>
      </c>
      <c r="E138" s="4">
        <v>0</v>
      </c>
      <c r="F138" s="4">
        <f>ROUND(Source!AX131,O138)</f>
        <v>0</v>
      </c>
      <c r="G138" s="4" t="s">
        <v>48</v>
      </c>
      <c r="H138" s="4" t="s">
        <v>49</v>
      </c>
      <c r="I138" s="4"/>
      <c r="J138" s="4"/>
      <c r="K138" s="4">
        <v>227</v>
      </c>
      <c r="L138" s="4">
        <v>6</v>
      </c>
      <c r="M138" s="4">
        <v>3</v>
      </c>
      <c r="N138" s="4" t="s">
        <v>4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 x14ac:dyDescent="0.25">
      <c r="A139" s="4">
        <v>50</v>
      </c>
      <c r="B139" s="4">
        <v>0</v>
      </c>
      <c r="C139" s="4">
        <v>0</v>
      </c>
      <c r="D139" s="4">
        <v>1</v>
      </c>
      <c r="E139" s="4">
        <v>228</v>
      </c>
      <c r="F139" s="4">
        <f>ROUND(Source!AY131,O139)</f>
        <v>197.82</v>
      </c>
      <c r="G139" s="4" t="s">
        <v>50</v>
      </c>
      <c r="H139" s="4" t="s">
        <v>51</v>
      </c>
      <c r="I139" s="4"/>
      <c r="J139" s="4"/>
      <c r="K139" s="4">
        <v>228</v>
      </c>
      <c r="L139" s="4">
        <v>7</v>
      </c>
      <c r="M139" s="4">
        <v>3</v>
      </c>
      <c r="N139" s="4" t="s">
        <v>4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 x14ac:dyDescent="0.25">
      <c r="A140" s="4">
        <v>50</v>
      </c>
      <c r="B140" s="4">
        <v>0</v>
      </c>
      <c r="C140" s="4">
        <v>0</v>
      </c>
      <c r="D140" s="4">
        <v>1</v>
      </c>
      <c r="E140" s="4">
        <v>216</v>
      </c>
      <c r="F140" s="4">
        <f>ROUND(Source!AP131,O140)</f>
        <v>2768458.82</v>
      </c>
      <c r="G140" s="4" t="s">
        <v>52</v>
      </c>
      <c r="H140" s="4" t="s">
        <v>53</v>
      </c>
      <c r="I140" s="4"/>
      <c r="J140" s="4"/>
      <c r="K140" s="4">
        <v>216</v>
      </c>
      <c r="L140" s="4">
        <v>8</v>
      </c>
      <c r="M140" s="4">
        <v>3</v>
      </c>
      <c r="N140" s="4" t="s">
        <v>4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 x14ac:dyDescent="0.25">
      <c r="A141" s="4">
        <v>50</v>
      </c>
      <c r="B141" s="4">
        <v>0</v>
      </c>
      <c r="C141" s="4">
        <v>0</v>
      </c>
      <c r="D141" s="4">
        <v>1</v>
      </c>
      <c r="E141" s="4">
        <v>223</v>
      </c>
      <c r="F141" s="4">
        <f>ROUND(Source!AQ131,O141)</f>
        <v>0</v>
      </c>
      <c r="G141" s="4" t="s">
        <v>54</v>
      </c>
      <c r="H141" s="4" t="s">
        <v>55</v>
      </c>
      <c r="I141" s="4"/>
      <c r="J141" s="4"/>
      <c r="K141" s="4">
        <v>223</v>
      </c>
      <c r="L141" s="4">
        <v>9</v>
      </c>
      <c r="M141" s="4">
        <v>3</v>
      </c>
      <c r="N141" s="4" t="s">
        <v>4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 x14ac:dyDescent="0.25">
      <c r="A142" s="4">
        <v>50</v>
      </c>
      <c r="B142" s="4">
        <v>0</v>
      </c>
      <c r="C142" s="4">
        <v>0</v>
      </c>
      <c r="D142" s="4">
        <v>1</v>
      </c>
      <c r="E142" s="4">
        <v>229</v>
      </c>
      <c r="F142" s="4">
        <f>ROUND(Source!AZ131,O142)</f>
        <v>2768458.82</v>
      </c>
      <c r="G142" s="4" t="s">
        <v>56</v>
      </c>
      <c r="H142" s="4" t="s">
        <v>57</v>
      </c>
      <c r="I142" s="4"/>
      <c r="J142" s="4"/>
      <c r="K142" s="4">
        <v>229</v>
      </c>
      <c r="L142" s="4">
        <v>10</v>
      </c>
      <c r="M142" s="4">
        <v>3</v>
      </c>
      <c r="N142" s="4" t="s">
        <v>4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 x14ac:dyDescent="0.25">
      <c r="A143" s="4">
        <v>50</v>
      </c>
      <c r="B143" s="4">
        <v>0</v>
      </c>
      <c r="C143" s="4">
        <v>0</v>
      </c>
      <c r="D143" s="4">
        <v>1</v>
      </c>
      <c r="E143" s="4">
        <v>203</v>
      </c>
      <c r="F143" s="4">
        <f>ROUND(Source!Q131,O143)</f>
        <v>35625.89</v>
      </c>
      <c r="G143" s="4" t="s">
        <v>58</v>
      </c>
      <c r="H143" s="4" t="s">
        <v>59</v>
      </c>
      <c r="I143" s="4"/>
      <c r="J143" s="4"/>
      <c r="K143" s="4">
        <v>203</v>
      </c>
      <c r="L143" s="4">
        <v>11</v>
      </c>
      <c r="M143" s="4">
        <v>3</v>
      </c>
      <c r="N143" s="4" t="s">
        <v>4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 x14ac:dyDescent="0.25">
      <c r="A144" s="4">
        <v>50</v>
      </c>
      <c r="B144" s="4">
        <v>0</v>
      </c>
      <c r="C144" s="4">
        <v>0</v>
      </c>
      <c r="D144" s="4">
        <v>1</v>
      </c>
      <c r="E144" s="4">
        <v>231</v>
      </c>
      <c r="F144" s="4">
        <f>ROUND(Source!BB131,O144)</f>
        <v>0</v>
      </c>
      <c r="G144" s="4" t="s">
        <v>60</v>
      </c>
      <c r="H144" s="4" t="s">
        <v>61</v>
      </c>
      <c r="I144" s="4"/>
      <c r="J144" s="4"/>
      <c r="K144" s="4">
        <v>231</v>
      </c>
      <c r="L144" s="4">
        <v>12</v>
      </c>
      <c r="M144" s="4">
        <v>3</v>
      </c>
      <c r="N144" s="4" t="s">
        <v>4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 x14ac:dyDescent="0.25">
      <c r="A145" s="4">
        <v>50</v>
      </c>
      <c r="B145" s="4">
        <v>0</v>
      </c>
      <c r="C145" s="4">
        <v>0</v>
      </c>
      <c r="D145" s="4">
        <v>1</v>
      </c>
      <c r="E145" s="4">
        <v>204</v>
      </c>
      <c r="F145" s="4">
        <f>ROUND(Source!R131,O145)</f>
        <v>16390.91</v>
      </c>
      <c r="G145" s="4" t="s">
        <v>62</v>
      </c>
      <c r="H145" s="4" t="s">
        <v>63</v>
      </c>
      <c r="I145" s="4"/>
      <c r="J145" s="4"/>
      <c r="K145" s="4">
        <v>204</v>
      </c>
      <c r="L145" s="4">
        <v>13</v>
      </c>
      <c r="M145" s="4">
        <v>3</v>
      </c>
      <c r="N145" s="4" t="s">
        <v>4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 x14ac:dyDescent="0.25">
      <c r="A146" s="4">
        <v>50</v>
      </c>
      <c r="B146" s="4">
        <v>0</v>
      </c>
      <c r="C146" s="4">
        <v>0</v>
      </c>
      <c r="D146" s="4">
        <v>1</v>
      </c>
      <c r="E146" s="4">
        <v>205</v>
      </c>
      <c r="F146" s="4">
        <f>ROUND(Source!S131,O146)</f>
        <v>19460.86</v>
      </c>
      <c r="G146" s="4" t="s">
        <v>64</v>
      </c>
      <c r="H146" s="4" t="s">
        <v>65</v>
      </c>
      <c r="I146" s="4"/>
      <c r="J146" s="4"/>
      <c r="K146" s="4">
        <v>205</v>
      </c>
      <c r="L146" s="4">
        <v>14</v>
      </c>
      <c r="M146" s="4">
        <v>3</v>
      </c>
      <c r="N146" s="4" t="s">
        <v>4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 x14ac:dyDescent="0.25">
      <c r="A147" s="4">
        <v>50</v>
      </c>
      <c r="B147" s="4">
        <v>0</v>
      </c>
      <c r="C147" s="4">
        <v>0</v>
      </c>
      <c r="D147" s="4">
        <v>1</v>
      </c>
      <c r="E147" s="4">
        <v>232</v>
      </c>
      <c r="F147" s="4">
        <f>ROUND(Source!BC131,O147)</f>
        <v>0</v>
      </c>
      <c r="G147" s="4" t="s">
        <v>66</v>
      </c>
      <c r="H147" s="4" t="s">
        <v>67</v>
      </c>
      <c r="I147" s="4"/>
      <c r="J147" s="4"/>
      <c r="K147" s="4">
        <v>232</v>
      </c>
      <c r="L147" s="4">
        <v>15</v>
      </c>
      <c r="M147" s="4">
        <v>3</v>
      </c>
      <c r="N147" s="4" t="s">
        <v>4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 x14ac:dyDescent="0.25">
      <c r="A148" s="4">
        <v>50</v>
      </c>
      <c r="B148" s="4">
        <v>0</v>
      </c>
      <c r="C148" s="4">
        <v>0</v>
      </c>
      <c r="D148" s="4">
        <v>1</v>
      </c>
      <c r="E148" s="4">
        <v>214</v>
      </c>
      <c r="F148" s="4">
        <f>ROUND(Source!AS131,O148)</f>
        <v>0</v>
      </c>
      <c r="G148" s="4" t="s">
        <v>68</v>
      </c>
      <c r="H148" s="4" t="s">
        <v>69</v>
      </c>
      <c r="I148" s="4"/>
      <c r="J148" s="4"/>
      <c r="K148" s="4">
        <v>214</v>
      </c>
      <c r="L148" s="4">
        <v>16</v>
      </c>
      <c r="M148" s="4">
        <v>3</v>
      </c>
      <c r="N148" s="4" t="s">
        <v>4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 x14ac:dyDescent="0.25">
      <c r="A149" s="4">
        <v>50</v>
      </c>
      <c r="B149" s="4">
        <v>0</v>
      </c>
      <c r="C149" s="4">
        <v>0</v>
      </c>
      <c r="D149" s="4">
        <v>1</v>
      </c>
      <c r="E149" s="4">
        <v>215</v>
      </c>
      <c r="F149" s="4">
        <f>ROUND(Source!AT131,O149)</f>
        <v>106901.25</v>
      </c>
      <c r="G149" s="4" t="s">
        <v>70</v>
      </c>
      <c r="H149" s="4" t="s">
        <v>71</v>
      </c>
      <c r="I149" s="4"/>
      <c r="J149" s="4"/>
      <c r="K149" s="4">
        <v>215</v>
      </c>
      <c r="L149" s="4">
        <v>17</v>
      </c>
      <c r="M149" s="4">
        <v>3</v>
      </c>
      <c r="N149" s="4" t="s">
        <v>4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 x14ac:dyDescent="0.25">
      <c r="A150" s="4">
        <v>50</v>
      </c>
      <c r="B150" s="4">
        <v>0</v>
      </c>
      <c r="C150" s="4">
        <v>0</v>
      </c>
      <c r="D150" s="4">
        <v>1</v>
      </c>
      <c r="E150" s="4">
        <v>217</v>
      </c>
      <c r="F150" s="4">
        <f>ROUND(Source!AU131,O150)</f>
        <v>0</v>
      </c>
      <c r="G150" s="4" t="s">
        <v>72</v>
      </c>
      <c r="H150" s="4" t="s">
        <v>73</v>
      </c>
      <c r="I150" s="4"/>
      <c r="J150" s="4"/>
      <c r="K150" s="4">
        <v>217</v>
      </c>
      <c r="L150" s="4">
        <v>18</v>
      </c>
      <c r="M150" s="4">
        <v>3</v>
      </c>
      <c r="N150" s="4" t="s">
        <v>4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 x14ac:dyDescent="0.25">
      <c r="A151" s="4">
        <v>50</v>
      </c>
      <c r="B151" s="4">
        <v>0</v>
      </c>
      <c r="C151" s="4">
        <v>0</v>
      </c>
      <c r="D151" s="4">
        <v>1</v>
      </c>
      <c r="E151" s="4">
        <v>230</v>
      </c>
      <c r="F151" s="4">
        <f>ROUND(Source!BA131,O151)</f>
        <v>0</v>
      </c>
      <c r="G151" s="4" t="s">
        <v>74</v>
      </c>
      <c r="H151" s="4" t="s">
        <v>75</v>
      </c>
      <c r="I151" s="4"/>
      <c r="J151" s="4"/>
      <c r="K151" s="4">
        <v>230</v>
      </c>
      <c r="L151" s="4">
        <v>19</v>
      </c>
      <c r="M151" s="4">
        <v>3</v>
      </c>
      <c r="N151" s="4" t="s">
        <v>4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 x14ac:dyDescent="0.25">
      <c r="A152" s="4">
        <v>50</v>
      </c>
      <c r="B152" s="4">
        <v>0</v>
      </c>
      <c r="C152" s="4">
        <v>0</v>
      </c>
      <c r="D152" s="4">
        <v>1</v>
      </c>
      <c r="E152" s="4">
        <v>206</v>
      </c>
      <c r="F152" s="4">
        <f>ROUND(Source!T131,O152)</f>
        <v>0</v>
      </c>
      <c r="G152" s="4" t="s">
        <v>76</v>
      </c>
      <c r="H152" s="4" t="s">
        <v>77</v>
      </c>
      <c r="I152" s="4"/>
      <c r="J152" s="4"/>
      <c r="K152" s="4">
        <v>206</v>
      </c>
      <c r="L152" s="4">
        <v>20</v>
      </c>
      <c r="M152" s="4">
        <v>3</v>
      </c>
      <c r="N152" s="4" t="s">
        <v>4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 x14ac:dyDescent="0.25">
      <c r="A153" s="4">
        <v>50</v>
      </c>
      <c r="B153" s="4">
        <v>0</v>
      </c>
      <c r="C153" s="4">
        <v>0</v>
      </c>
      <c r="D153" s="4">
        <v>1</v>
      </c>
      <c r="E153" s="4">
        <v>207</v>
      </c>
      <c r="F153" s="4">
        <f>ROUND(Source!U131,O153)</f>
        <v>61.36</v>
      </c>
      <c r="G153" s="4" t="s">
        <v>78</v>
      </c>
      <c r="H153" s="4" t="s">
        <v>79</v>
      </c>
      <c r="I153" s="4"/>
      <c r="J153" s="4"/>
      <c r="K153" s="4">
        <v>207</v>
      </c>
      <c r="L153" s="4">
        <v>21</v>
      </c>
      <c r="M153" s="4">
        <v>3</v>
      </c>
      <c r="N153" s="4" t="s">
        <v>4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 x14ac:dyDescent="0.25">
      <c r="A154" s="4">
        <v>50</v>
      </c>
      <c r="B154" s="4">
        <v>0</v>
      </c>
      <c r="C154" s="4">
        <v>0</v>
      </c>
      <c r="D154" s="4">
        <v>1</v>
      </c>
      <c r="E154" s="4">
        <v>208</v>
      </c>
      <c r="F154" s="4">
        <f>ROUND(Source!V131,O154)</f>
        <v>0</v>
      </c>
      <c r="G154" s="4" t="s">
        <v>80</v>
      </c>
      <c r="H154" s="4" t="s">
        <v>81</v>
      </c>
      <c r="I154" s="4"/>
      <c r="J154" s="4"/>
      <c r="K154" s="4">
        <v>208</v>
      </c>
      <c r="L154" s="4">
        <v>22</v>
      </c>
      <c r="M154" s="4">
        <v>3</v>
      </c>
      <c r="N154" s="4" t="s">
        <v>4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 x14ac:dyDescent="0.25">
      <c r="A155" s="4">
        <v>50</v>
      </c>
      <c r="B155" s="4">
        <v>0</v>
      </c>
      <c r="C155" s="4">
        <v>0</v>
      </c>
      <c r="D155" s="4">
        <v>1</v>
      </c>
      <c r="E155" s="4">
        <v>209</v>
      </c>
      <c r="F155" s="4">
        <f>ROUND(Source!W131,O155)</f>
        <v>0</v>
      </c>
      <c r="G155" s="4" t="s">
        <v>82</v>
      </c>
      <c r="H155" s="4" t="s">
        <v>83</v>
      </c>
      <c r="I155" s="4"/>
      <c r="J155" s="4"/>
      <c r="K155" s="4">
        <v>209</v>
      </c>
      <c r="L155" s="4">
        <v>23</v>
      </c>
      <c r="M155" s="4">
        <v>3</v>
      </c>
      <c r="N155" s="4" t="s">
        <v>4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 x14ac:dyDescent="0.25">
      <c r="A156" s="4">
        <v>50</v>
      </c>
      <c r="B156" s="4">
        <v>0</v>
      </c>
      <c r="C156" s="4">
        <v>0</v>
      </c>
      <c r="D156" s="4">
        <v>1</v>
      </c>
      <c r="E156" s="4">
        <v>233</v>
      </c>
      <c r="F156" s="4">
        <f>ROUND(Source!BD131,O156)</f>
        <v>0</v>
      </c>
      <c r="G156" s="4" t="s">
        <v>84</v>
      </c>
      <c r="H156" s="4" t="s">
        <v>85</v>
      </c>
      <c r="I156" s="4"/>
      <c r="J156" s="4"/>
      <c r="K156" s="4">
        <v>233</v>
      </c>
      <c r="L156" s="4">
        <v>24</v>
      </c>
      <c r="M156" s="4">
        <v>3</v>
      </c>
      <c r="N156" s="4" t="s">
        <v>4</v>
      </c>
      <c r="O156" s="4">
        <v>2</v>
      </c>
      <c r="P156" s="4"/>
      <c r="Q156" s="4"/>
      <c r="R156" s="4"/>
      <c r="S156" s="4"/>
      <c r="T156" s="4"/>
      <c r="U156" s="4"/>
      <c r="V156" s="4"/>
      <c r="W156" s="4"/>
    </row>
    <row r="157" spans="1:23" x14ac:dyDescent="0.25">
      <c r="A157" s="4">
        <v>50</v>
      </c>
      <c r="B157" s="4">
        <v>0</v>
      </c>
      <c r="C157" s="4">
        <v>0</v>
      </c>
      <c r="D157" s="4">
        <v>1</v>
      </c>
      <c r="E157" s="4">
        <v>210</v>
      </c>
      <c r="F157" s="4">
        <f>ROUND(Source!X131,O157)</f>
        <v>17514.77</v>
      </c>
      <c r="G157" s="4" t="s">
        <v>86</v>
      </c>
      <c r="H157" s="4" t="s">
        <v>87</v>
      </c>
      <c r="I157" s="4"/>
      <c r="J157" s="4"/>
      <c r="K157" s="4">
        <v>210</v>
      </c>
      <c r="L157" s="4">
        <v>25</v>
      </c>
      <c r="M157" s="4">
        <v>3</v>
      </c>
      <c r="N157" s="4" t="s">
        <v>4</v>
      </c>
      <c r="O157" s="4">
        <v>2</v>
      </c>
      <c r="P157" s="4"/>
      <c r="Q157" s="4"/>
      <c r="R157" s="4"/>
      <c r="S157" s="4"/>
      <c r="T157" s="4"/>
      <c r="U157" s="4"/>
      <c r="V157" s="4"/>
      <c r="W157" s="4"/>
    </row>
    <row r="158" spans="1:23" x14ac:dyDescent="0.25">
      <c r="A158" s="4">
        <v>50</v>
      </c>
      <c r="B158" s="4">
        <v>0</v>
      </c>
      <c r="C158" s="4">
        <v>0</v>
      </c>
      <c r="D158" s="4">
        <v>1</v>
      </c>
      <c r="E158" s="4">
        <v>211</v>
      </c>
      <c r="F158" s="4">
        <f>ROUND(Source!Y131,O158)</f>
        <v>8368.17</v>
      </c>
      <c r="G158" s="4" t="s">
        <v>88</v>
      </c>
      <c r="H158" s="4" t="s">
        <v>89</v>
      </c>
      <c r="I158" s="4"/>
      <c r="J158" s="4"/>
      <c r="K158" s="4">
        <v>211</v>
      </c>
      <c r="L158" s="4">
        <v>26</v>
      </c>
      <c r="M158" s="4">
        <v>3</v>
      </c>
      <c r="N158" s="4" t="s">
        <v>4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 x14ac:dyDescent="0.25">
      <c r="A159" s="4">
        <v>50</v>
      </c>
      <c r="B159" s="4">
        <v>0</v>
      </c>
      <c r="C159" s="4">
        <v>0</v>
      </c>
      <c r="D159" s="4">
        <v>1</v>
      </c>
      <c r="E159" s="4">
        <v>224</v>
      </c>
      <c r="F159" s="4">
        <f>ROUND(Source!AR131,O159)</f>
        <v>2875360.07</v>
      </c>
      <c r="G159" s="4" t="s">
        <v>90</v>
      </c>
      <c r="H159" s="4" t="s">
        <v>91</v>
      </c>
      <c r="I159" s="4"/>
      <c r="J159" s="4"/>
      <c r="K159" s="4">
        <v>224</v>
      </c>
      <c r="L159" s="4">
        <v>27</v>
      </c>
      <c r="M159" s="4">
        <v>3</v>
      </c>
      <c r="N159" s="4" t="s">
        <v>4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2" spans="1:27" x14ac:dyDescent="0.25">
      <c r="A162">
        <v>-1</v>
      </c>
    </row>
    <row r="164" spans="1:27" x14ac:dyDescent="0.25">
      <c r="A164" s="3">
        <v>75</v>
      </c>
      <c r="B164" s="3" t="s">
        <v>105</v>
      </c>
      <c r="C164" s="3">
        <v>2021</v>
      </c>
      <c r="D164" s="3">
        <v>0</v>
      </c>
      <c r="E164" s="3">
        <v>5</v>
      </c>
      <c r="F164" s="3"/>
      <c r="G164" s="3">
        <v>0</v>
      </c>
      <c r="H164" s="3">
        <v>2</v>
      </c>
      <c r="I164" s="3">
        <v>1</v>
      </c>
      <c r="J164" s="3">
        <v>1</v>
      </c>
      <c r="K164" s="3">
        <v>93</v>
      </c>
      <c r="L164" s="3">
        <v>64</v>
      </c>
      <c r="M164" s="3">
        <v>0</v>
      </c>
      <c r="N164" s="3">
        <v>40519780</v>
      </c>
      <c r="O164" s="3">
        <v>1</v>
      </c>
    </row>
    <row r="165" spans="1:27" x14ac:dyDescent="0.25">
      <c r="A165" s="5">
        <v>1</v>
      </c>
      <c r="B165" s="5" t="s">
        <v>106</v>
      </c>
      <c r="C165" s="5" t="s">
        <v>107</v>
      </c>
      <c r="D165" s="5">
        <v>2021</v>
      </c>
      <c r="E165" s="5">
        <v>5</v>
      </c>
      <c r="F165" s="5">
        <v>1</v>
      </c>
      <c r="G165" s="5">
        <v>1</v>
      </c>
      <c r="H165" s="5">
        <v>0</v>
      </c>
      <c r="I165" s="5">
        <v>2</v>
      </c>
      <c r="J165" s="5">
        <v>1</v>
      </c>
      <c r="K165" s="5">
        <v>5.23</v>
      </c>
      <c r="L165" s="5">
        <v>4.1100000000000003</v>
      </c>
      <c r="M165" s="5">
        <v>1</v>
      </c>
      <c r="N165" s="5">
        <v>1</v>
      </c>
      <c r="O165" s="5">
        <v>5.23</v>
      </c>
      <c r="P165" s="5">
        <v>4.1100000000000003</v>
      </c>
      <c r="Q165" s="5">
        <v>1</v>
      </c>
      <c r="R165" s="5" t="s">
        <v>4</v>
      </c>
      <c r="S165" s="5" t="s">
        <v>4</v>
      </c>
      <c r="T165" s="5" t="s">
        <v>4</v>
      </c>
      <c r="U165" s="5" t="s">
        <v>4</v>
      </c>
      <c r="V165" s="5" t="s">
        <v>4</v>
      </c>
      <c r="W165" s="5" t="s">
        <v>4</v>
      </c>
      <c r="X165" s="5" t="s">
        <v>4</v>
      </c>
      <c r="Y165" s="5" t="s">
        <v>4</v>
      </c>
      <c r="Z165" s="5" t="s">
        <v>4</v>
      </c>
      <c r="AA165" s="5" t="s">
        <v>108</v>
      </c>
    </row>
    <row r="169" spans="1:27" x14ac:dyDescent="0.25">
      <c r="A169">
        <v>65</v>
      </c>
      <c r="C169">
        <v>1</v>
      </c>
      <c r="D169">
        <v>0</v>
      </c>
      <c r="E169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2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33" x14ac:dyDescent="0.25">
      <c r="A1">
        <v>0</v>
      </c>
      <c r="B1" t="s">
        <v>0</v>
      </c>
      <c r="D1" t="s">
        <v>109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37067</v>
      </c>
      <c r="M1">
        <v>10</v>
      </c>
      <c r="N1">
        <v>11</v>
      </c>
      <c r="O1">
        <v>0</v>
      </c>
      <c r="P1">
        <v>1</v>
      </c>
      <c r="Q1">
        <v>6</v>
      </c>
    </row>
    <row r="12" spans="1:133" x14ac:dyDescent="0.25">
      <c r="A12" s="1">
        <v>1</v>
      </c>
      <c r="B12" s="1">
        <v>51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4</v>
      </c>
      <c r="I12" s="1">
        <v>0</v>
      </c>
      <c r="J12" s="1" t="s">
        <v>6</v>
      </c>
      <c r="K12" s="1">
        <v>0</v>
      </c>
      <c r="L12" s="1"/>
      <c r="M12" s="1"/>
      <c r="N12" s="1"/>
      <c r="O12" s="1">
        <v>0</v>
      </c>
      <c r="P12" s="1">
        <v>0</v>
      </c>
      <c r="Q12" s="1">
        <v>0</v>
      </c>
      <c r="R12" s="1">
        <v>157</v>
      </c>
      <c r="S12" s="1"/>
      <c r="T12" s="1"/>
      <c r="U12" s="1" t="s">
        <v>4</v>
      </c>
      <c r="V12" s="1">
        <v>0</v>
      </c>
      <c r="W12" s="1" t="s">
        <v>4</v>
      </c>
      <c r="X12" s="1" t="s">
        <v>4</v>
      </c>
      <c r="Y12" s="1" t="s">
        <v>4</v>
      </c>
      <c r="Z12" s="1" t="s">
        <v>4</v>
      </c>
      <c r="AA12" s="1" t="s">
        <v>4</v>
      </c>
      <c r="AB12" s="1" t="s">
        <v>7</v>
      </c>
      <c r="AC12" s="1" t="s">
        <v>4</v>
      </c>
      <c r="AD12" s="1" t="s">
        <v>8</v>
      </c>
      <c r="AE12" s="1" t="s">
        <v>4</v>
      </c>
      <c r="AF12" s="1" t="s">
        <v>4</v>
      </c>
      <c r="AG12" s="1" t="s">
        <v>4</v>
      </c>
      <c r="AH12" s="1" t="s">
        <v>4</v>
      </c>
      <c r="AI12" s="1" t="s">
        <v>4</v>
      </c>
      <c r="AJ12" s="1" t="s">
        <v>4</v>
      </c>
      <c r="AK12" s="1"/>
      <c r="AL12" s="1" t="s">
        <v>4</v>
      </c>
      <c r="AM12" s="1" t="s">
        <v>4</v>
      </c>
      <c r="AN12" s="1" t="s">
        <v>4</v>
      </c>
      <c r="AO12" s="1"/>
      <c r="AP12" s="1" t="s">
        <v>4</v>
      </c>
      <c r="AQ12" s="1" t="s">
        <v>4</v>
      </c>
      <c r="AR12" s="1" t="s">
        <v>4</v>
      </c>
      <c r="AS12" s="1"/>
      <c r="AT12" s="1"/>
      <c r="AU12" s="1"/>
      <c r="AV12" s="1"/>
      <c r="AW12" s="1"/>
      <c r="AX12" s="1" t="s">
        <v>4</v>
      </c>
      <c r="AY12" s="1" t="s">
        <v>4</v>
      </c>
      <c r="AZ12" s="1" t="s">
        <v>4</v>
      </c>
      <c r="BA12" s="1"/>
      <c r="BB12" s="1"/>
      <c r="BC12" s="1"/>
      <c r="BD12" s="1"/>
      <c r="BE12" s="1"/>
      <c r="BF12" s="1"/>
      <c r="BG12" s="1"/>
      <c r="BH12" s="1" t="s">
        <v>9</v>
      </c>
      <c r="BI12" s="1" t="s">
        <v>10</v>
      </c>
      <c r="BJ12" s="1">
        <v>1</v>
      </c>
      <c r="BK12" s="1">
        <v>1</v>
      </c>
      <c r="BL12" s="1">
        <v>0</v>
      </c>
      <c r="BM12" s="1">
        <v>0</v>
      </c>
      <c r="BN12" s="1">
        <v>0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1</v>
      </c>
      <c r="BW12" s="1">
        <v>0</v>
      </c>
      <c r="BX12" s="1">
        <v>0</v>
      </c>
      <c r="BY12" s="1" t="s">
        <v>4</v>
      </c>
      <c r="BZ12" s="1" t="s">
        <v>11</v>
      </c>
      <c r="CA12" s="1" t="s">
        <v>12</v>
      </c>
      <c r="CB12" s="1" t="s">
        <v>12</v>
      </c>
      <c r="CC12" s="1" t="s">
        <v>12</v>
      </c>
      <c r="CD12" s="1" t="s">
        <v>12</v>
      </c>
      <c r="CE12" s="1" t="s">
        <v>13</v>
      </c>
      <c r="CF12" s="1">
        <v>0</v>
      </c>
      <c r="CG12" s="1">
        <v>0</v>
      </c>
      <c r="CH12" s="1">
        <v>10</v>
      </c>
      <c r="CI12" s="1" t="s">
        <v>4</v>
      </c>
      <c r="CJ12" s="1" t="s">
        <v>4</v>
      </c>
      <c r="CK12" s="1">
        <v>60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 x14ac:dyDescent="0.25">
      <c r="A14" s="1">
        <v>22</v>
      </c>
      <c r="B14" s="1">
        <v>0</v>
      </c>
      <c r="C14" s="1">
        <v>0</v>
      </c>
      <c r="D14" s="1">
        <v>40519780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 x14ac:dyDescent="0.25">
      <c r="A16" s="6">
        <v>3</v>
      </c>
      <c r="B16" s="6">
        <v>1</v>
      </c>
      <c r="C16" s="6" t="s">
        <v>14</v>
      </c>
      <c r="D16" s="6" t="s">
        <v>15</v>
      </c>
      <c r="E16" s="7">
        <f>(Source!F118)/1000</f>
        <v>0</v>
      </c>
      <c r="F16" s="7">
        <f>(Source!F119)/1000</f>
        <v>106.90125</v>
      </c>
      <c r="G16" s="7">
        <f>(Source!F110)/1000</f>
        <v>2768.4588199999998</v>
      </c>
      <c r="H16" s="7">
        <f>(Source!F120)/1000+(Source!F121)/1000</f>
        <v>0</v>
      </c>
      <c r="I16" s="7">
        <f>E16+F16+G16+H16</f>
        <v>2875.3600699999997</v>
      </c>
      <c r="J16" s="7">
        <f>(Source!F116)/1000</f>
        <v>19.46086</v>
      </c>
      <c r="AI16" s="6">
        <v>0</v>
      </c>
      <c r="AJ16" s="6">
        <v>-1</v>
      </c>
      <c r="AK16" s="6" t="s">
        <v>4</v>
      </c>
      <c r="AL16" s="6" t="s">
        <v>4</v>
      </c>
      <c r="AM16" s="6" t="s">
        <v>4</v>
      </c>
      <c r="AN16" s="6">
        <v>0</v>
      </c>
      <c r="AO16" s="6" t="s">
        <v>4</v>
      </c>
      <c r="AP16" s="6" t="s">
        <v>4</v>
      </c>
      <c r="AT16" s="7">
        <v>2823743.39</v>
      </c>
      <c r="AU16" s="7">
        <v>2768656.64</v>
      </c>
      <c r="AW16" s="7">
        <v>2768458.82</v>
      </c>
      <c r="AX16" s="7">
        <v>0</v>
      </c>
      <c r="AY16" s="7">
        <v>35625.89</v>
      </c>
      <c r="AZ16" s="7">
        <v>16390.91</v>
      </c>
      <c r="BA16" s="7">
        <v>19460.86</v>
      </c>
      <c r="BB16" s="7">
        <v>0</v>
      </c>
      <c r="BC16" s="7">
        <v>106901.25</v>
      </c>
      <c r="BD16" s="7">
        <v>0</v>
      </c>
      <c r="BE16" s="7">
        <v>0</v>
      </c>
      <c r="BF16" s="7">
        <v>61.36</v>
      </c>
      <c r="BG16" s="7">
        <v>0</v>
      </c>
      <c r="BH16" s="7">
        <v>0</v>
      </c>
      <c r="BI16" s="7">
        <v>17514.77</v>
      </c>
      <c r="BJ16" s="7">
        <v>8368.17</v>
      </c>
      <c r="BK16" s="7">
        <v>2875360.07</v>
      </c>
    </row>
    <row r="18" spans="1:19" x14ac:dyDescent="0.25">
      <c r="A18">
        <v>51</v>
      </c>
      <c r="E18" s="8">
        <f>SUMIF(A16:A17,3,E16:E17)</f>
        <v>0</v>
      </c>
      <c r="F18" s="8">
        <f>SUMIF(A16:A17,3,F16:F17)</f>
        <v>106.90125</v>
      </c>
      <c r="G18" s="8">
        <f>SUMIF(A16:A17,3,G16:G17)</f>
        <v>2768.4588199999998</v>
      </c>
      <c r="H18" s="8">
        <f>SUMIF(A16:A17,3,H16:H17)</f>
        <v>0</v>
      </c>
      <c r="I18" s="8">
        <f>SUMIF(A16:A17,3,I16:I17)</f>
        <v>2875.3600699999997</v>
      </c>
      <c r="J18" s="8">
        <f>SUMIF(A16:A17,3,J16:J17)</f>
        <v>19.46086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 x14ac:dyDescent="0.25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2823743.39</v>
      </c>
      <c r="G20" s="4" t="s">
        <v>38</v>
      </c>
      <c r="H20" s="4" t="s">
        <v>39</v>
      </c>
      <c r="I20" s="4"/>
      <c r="J20" s="4"/>
      <c r="K20" s="4">
        <v>201</v>
      </c>
      <c r="L20" s="4">
        <v>1</v>
      </c>
      <c r="M20" s="4">
        <v>3</v>
      </c>
      <c r="N20" s="4" t="s">
        <v>4</v>
      </c>
      <c r="O20" s="4">
        <v>2</v>
      </c>
      <c r="P20" s="4"/>
    </row>
    <row r="21" spans="1:19" x14ac:dyDescent="0.25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2768656.64</v>
      </c>
      <c r="G21" s="4" t="s">
        <v>40</v>
      </c>
      <c r="H21" s="4" t="s">
        <v>41</v>
      </c>
      <c r="I21" s="4"/>
      <c r="J21" s="4"/>
      <c r="K21" s="4">
        <v>202</v>
      </c>
      <c r="L21" s="4">
        <v>2</v>
      </c>
      <c r="M21" s="4">
        <v>3</v>
      </c>
      <c r="N21" s="4" t="s">
        <v>4</v>
      </c>
      <c r="O21" s="4">
        <v>2</v>
      </c>
      <c r="P21" s="4"/>
    </row>
    <row r="22" spans="1:19" x14ac:dyDescent="0.25">
      <c r="A22" s="4">
        <v>50</v>
      </c>
      <c r="B22" s="4">
        <v>0</v>
      </c>
      <c r="C22" s="4">
        <v>0</v>
      </c>
      <c r="D22" s="4">
        <v>1</v>
      </c>
      <c r="E22" s="4">
        <v>227</v>
      </c>
      <c r="F22" s="4">
        <v>0</v>
      </c>
      <c r="G22" s="4" t="s">
        <v>42</v>
      </c>
      <c r="H22" s="4" t="s">
        <v>43</v>
      </c>
      <c r="I22" s="4"/>
      <c r="J22" s="4"/>
      <c r="K22" s="4">
        <v>222</v>
      </c>
      <c r="L22" s="4">
        <v>3</v>
      </c>
      <c r="M22" s="4">
        <v>3</v>
      </c>
      <c r="N22" s="4" t="s">
        <v>4</v>
      </c>
      <c r="O22" s="4">
        <v>2</v>
      </c>
      <c r="P22" s="4"/>
    </row>
    <row r="23" spans="1:19" x14ac:dyDescent="0.25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2768656.64</v>
      </c>
      <c r="G23" s="4" t="s">
        <v>44</v>
      </c>
      <c r="H23" s="4" t="s">
        <v>45</v>
      </c>
      <c r="I23" s="4"/>
      <c r="J23" s="4"/>
      <c r="K23" s="4">
        <v>225</v>
      </c>
      <c r="L23" s="4">
        <v>4</v>
      </c>
      <c r="M23" s="4">
        <v>3</v>
      </c>
      <c r="N23" s="4" t="s">
        <v>4</v>
      </c>
      <c r="O23" s="4">
        <v>2</v>
      </c>
      <c r="P23" s="4"/>
    </row>
    <row r="24" spans="1:19" x14ac:dyDescent="0.25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197.82</v>
      </c>
      <c r="G24" s="4" t="s">
        <v>46</v>
      </c>
      <c r="H24" s="4" t="s">
        <v>47</v>
      </c>
      <c r="I24" s="4"/>
      <c r="J24" s="4"/>
      <c r="K24" s="4">
        <v>226</v>
      </c>
      <c r="L24" s="4">
        <v>5</v>
      </c>
      <c r="M24" s="4">
        <v>3</v>
      </c>
      <c r="N24" s="4" t="s">
        <v>4</v>
      </c>
      <c r="O24" s="4">
        <v>2</v>
      </c>
      <c r="P24" s="4"/>
    </row>
    <row r="25" spans="1:19" x14ac:dyDescent="0.25">
      <c r="A25" s="4">
        <v>50</v>
      </c>
      <c r="B25" s="4">
        <v>0</v>
      </c>
      <c r="C25" s="4">
        <v>0</v>
      </c>
      <c r="D25" s="4">
        <v>1</v>
      </c>
      <c r="E25" s="4">
        <v>0</v>
      </c>
      <c r="F25" s="4">
        <v>0</v>
      </c>
      <c r="G25" s="4" t="s">
        <v>48</v>
      </c>
      <c r="H25" s="4" t="s">
        <v>49</v>
      </c>
      <c r="I25" s="4"/>
      <c r="J25" s="4"/>
      <c r="K25" s="4">
        <v>227</v>
      </c>
      <c r="L25" s="4">
        <v>6</v>
      </c>
      <c r="M25" s="4">
        <v>3</v>
      </c>
      <c r="N25" s="4" t="s">
        <v>4</v>
      </c>
      <c r="O25" s="4">
        <v>2</v>
      </c>
      <c r="P25" s="4"/>
    </row>
    <row r="26" spans="1:19" x14ac:dyDescent="0.25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197.82</v>
      </c>
      <c r="G26" s="4" t="s">
        <v>50</v>
      </c>
      <c r="H26" s="4" t="s">
        <v>51</v>
      </c>
      <c r="I26" s="4"/>
      <c r="J26" s="4"/>
      <c r="K26" s="4">
        <v>228</v>
      </c>
      <c r="L26" s="4">
        <v>7</v>
      </c>
      <c r="M26" s="4">
        <v>3</v>
      </c>
      <c r="N26" s="4" t="s">
        <v>4</v>
      </c>
      <c r="O26" s="4">
        <v>2</v>
      </c>
      <c r="P26" s="4"/>
    </row>
    <row r="27" spans="1:19" x14ac:dyDescent="0.25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2768458.82</v>
      </c>
      <c r="G27" s="4" t="s">
        <v>52</v>
      </c>
      <c r="H27" s="4" t="s">
        <v>53</v>
      </c>
      <c r="I27" s="4"/>
      <c r="J27" s="4"/>
      <c r="K27" s="4">
        <v>216</v>
      </c>
      <c r="L27" s="4">
        <v>8</v>
      </c>
      <c r="M27" s="4">
        <v>3</v>
      </c>
      <c r="N27" s="4" t="s">
        <v>4</v>
      </c>
      <c r="O27" s="4">
        <v>2</v>
      </c>
      <c r="P27" s="4"/>
    </row>
    <row r="28" spans="1:19" x14ac:dyDescent="0.25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54</v>
      </c>
      <c r="H28" s="4" t="s">
        <v>55</v>
      </c>
      <c r="I28" s="4"/>
      <c r="J28" s="4"/>
      <c r="K28" s="4">
        <v>223</v>
      </c>
      <c r="L28" s="4">
        <v>9</v>
      </c>
      <c r="M28" s="4">
        <v>3</v>
      </c>
      <c r="N28" s="4" t="s">
        <v>4</v>
      </c>
      <c r="O28" s="4">
        <v>2</v>
      </c>
      <c r="P28" s="4"/>
    </row>
    <row r="29" spans="1:19" x14ac:dyDescent="0.25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2768458.82</v>
      </c>
      <c r="G29" s="4" t="s">
        <v>56</v>
      </c>
      <c r="H29" s="4" t="s">
        <v>57</v>
      </c>
      <c r="I29" s="4"/>
      <c r="J29" s="4"/>
      <c r="K29" s="4">
        <v>229</v>
      </c>
      <c r="L29" s="4">
        <v>10</v>
      </c>
      <c r="M29" s="4">
        <v>3</v>
      </c>
      <c r="N29" s="4" t="s">
        <v>4</v>
      </c>
      <c r="O29" s="4">
        <v>2</v>
      </c>
      <c r="P29" s="4"/>
    </row>
    <row r="30" spans="1:19" x14ac:dyDescent="0.25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35625.89</v>
      </c>
      <c r="G30" s="4" t="s">
        <v>58</v>
      </c>
      <c r="H30" s="4" t="s">
        <v>59</v>
      </c>
      <c r="I30" s="4"/>
      <c r="J30" s="4"/>
      <c r="K30" s="4">
        <v>203</v>
      </c>
      <c r="L30" s="4">
        <v>11</v>
      </c>
      <c r="M30" s="4">
        <v>3</v>
      </c>
      <c r="N30" s="4" t="s">
        <v>4</v>
      </c>
      <c r="O30" s="4">
        <v>2</v>
      </c>
      <c r="P30" s="4"/>
    </row>
    <row r="31" spans="1:19" x14ac:dyDescent="0.25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60</v>
      </c>
      <c r="H31" s="4" t="s">
        <v>61</v>
      </c>
      <c r="I31" s="4"/>
      <c r="J31" s="4"/>
      <c r="K31" s="4">
        <v>231</v>
      </c>
      <c r="L31" s="4">
        <v>12</v>
      </c>
      <c r="M31" s="4">
        <v>3</v>
      </c>
      <c r="N31" s="4" t="s">
        <v>4</v>
      </c>
      <c r="O31" s="4">
        <v>2</v>
      </c>
      <c r="P31" s="4"/>
    </row>
    <row r="32" spans="1:19" x14ac:dyDescent="0.25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16390.91</v>
      </c>
      <c r="G32" s="4" t="s">
        <v>62</v>
      </c>
      <c r="H32" s="4" t="s">
        <v>63</v>
      </c>
      <c r="I32" s="4"/>
      <c r="J32" s="4"/>
      <c r="K32" s="4">
        <v>204</v>
      </c>
      <c r="L32" s="4">
        <v>13</v>
      </c>
      <c r="M32" s="4">
        <v>3</v>
      </c>
      <c r="N32" s="4" t="s">
        <v>4</v>
      </c>
      <c r="O32" s="4">
        <v>2</v>
      </c>
      <c r="P32" s="4"/>
    </row>
    <row r="33" spans="1:16" x14ac:dyDescent="0.25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19460.86</v>
      </c>
      <c r="G33" s="4" t="s">
        <v>64</v>
      </c>
      <c r="H33" s="4" t="s">
        <v>65</v>
      </c>
      <c r="I33" s="4"/>
      <c r="J33" s="4"/>
      <c r="K33" s="4">
        <v>205</v>
      </c>
      <c r="L33" s="4">
        <v>14</v>
      </c>
      <c r="M33" s="4">
        <v>3</v>
      </c>
      <c r="N33" s="4" t="s">
        <v>4</v>
      </c>
      <c r="O33" s="4">
        <v>2</v>
      </c>
      <c r="P33" s="4"/>
    </row>
    <row r="34" spans="1:16" x14ac:dyDescent="0.25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66</v>
      </c>
      <c r="H34" s="4" t="s">
        <v>67</v>
      </c>
      <c r="I34" s="4"/>
      <c r="J34" s="4"/>
      <c r="K34" s="4">
        <v>232</v>
      </c>
      <c r="L34" s="4">
        <v>15</v>
      </c>
      <c r="M34" s="4">
        <v>3</v>
      </c>
      <c r="N34" s="4" t="s">
        <v>4</v>
      </c>
      <c r="O34" s="4">
        <v>2</v>
      </c>
      <c r="P34" s="4"/>
    </row>
    <row r="35" spans="1:16" x14ac:dyDescent="0.25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0</v>
      </c>
      <c r="G35" s="4" t="s">
        <v>68</v>
      </c>
      <c r="H35" s="4" t="s">
        <v>69</v>
      </c>
      <c r="I35" s="4"/>
      <c r="J35" s="4"/>
      <c r="K35" s="4">
        <v>214</v>
      </c>
      <c r="L35" s="4">
        <v>16</v>
      </c>
      <c r="M35" s="4">
        <v>3</v>
      </c>
      <c r="N35" s="4" t="s">
        <v>4</v>
      </c>
      <c r="O35" s="4">
        <v>2</v>
      </c>
      <c r="P35" s="4"/>
    </row>
    <row r="36" spans="1:16" x14ac:dyDescent="0.25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106901.25</v>
      </c>
      <c r="G36" s="4" t="s">
        <v>70</v>
      </c>
      <c r="H36" s="4" t="s">
        <v>71</v>
      </c>
      <c r="I36" s="4"/>
      <c r="J36" s="4"/>
      <c r="K36" s="4">
        <v>215</v>
      </c>
      <c r="L36" s="4">
        <v>17</v>
      </c>
      <c r="M36" s="4">
        <v>3</v>
      </c>
      <c r="N36" s="4" t="s">
        <v>4</v>
      </c>
      <c r="O36" s="4">
        <v>2</v>
      </c>
      <c r="P36" s="4"/>
    </row>
    <row r="37" spans="1:16" x14ac:dyDescent="0.25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72</v>
      </c>
      <c r="H37" s="4" t="s">
        <v>73</v>
      </c>
      <c r="I37" s="4"/>
      <c r="J37" s="4"/>
      <c r="K37" s="4">
        <v>217</v>
      </c>
      <c r="L37" s="4">
        <v>18</v>
      </c>
      <c r="M37" s="4">
        <v>3</v>
      </c>
      <c r="N37" s="4" t="s">
        <v>4</v>
      </c>
      <c r="O37" s="4">
        <v>2</v>
      </c>
      <c r="P37" s="4"/>
    </row>
    <row r="38" spans="1:16" x14ac:dyDescent="0.25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74</v>
      </c>
      <c r="H38" s="4" t="s">
        <v>75</v>
      </c>
      <c r="I38" s="4"/>
      <c r="J38" s="4"/>
      <c r="K38" s="4">
        <v>230</v>
      </c>
      <c r="L38" s="4">
        <v>19</v>
      </c>
      <c r="M38" s="4">
        <v>3</v>
      </c>
      <c r="N38" s="4" t="s">
        <v>4</v>
      </c>
      <c r="O38" s="4">
        <v>2</v>
      </c>
      <c r="P38" s="4"/>
    </row>
    <row r="39" spans="1:16" x14ac:dyDescent="0.25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76</v>
      </c>
      <c r="H39" s="4" t="s">
        <v>77</v>
      </c>
      <c r="I39" s="4"/>
      <c r="J39" s="4"/>
      <c r="K39" s="4">
        <v>206</v>
      </c>
      <c r="L39" s="4">
        <v>20</v>
      </c>
      <c r="M39" s="4">
        <v>3</v>
      </c>
      <c r="N39" s="4" t="s">
        <v>4</v>
      </c>
      <c r="O39" s="4">
        <v>2</v>
      </c>
      <c r="P39" s="4"/>
    </row>
    <row r="40" spans="1:16" x14ac:dyDescent="0.25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61.36</v>
      </c>
      <c r="G40" s="4" t="s">
        <v>78</v>
      </c>
      <c r="H40" s="4" t="s">
        <v>79</v>
      </c>
      <c r="I40" s="4"/>
      <c r="J40" s="4"/>
      <c r="K40" s="4">
        <v>207</v>
      </c>
      <c r="L40" s="4">
        <v>21</v>
      </c>
      <c r="M40" s="4">
        <v>3</v>
      </c>
      <c r="N40" s="4" t="s">
        <v>4</v>
      </c>
      <c r="O40" s="4">
        <v>2</v>
      </c>
      <c r="P40" s="4"/>
    </row>
    <row r="41" spans="1:16" x14ac:dyDescent="0.25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</v>
      </c>
      <c r="G41" s="4" t="s">
        <v>80</v>
      </c>
      <c r="H41" s="4" t="s">
        <v>81</v>
      </c>
      <c r="I41" s="4"/>
      <c r="J41" s="4"/>
      <c r="K41" s="4">
        <v>208</v>
      </c>
      <c r="L41" s="4">
        <v>22</v>
      </c>
      <c r="M41" s="4">
        <v>3</v>
      </c>
      <c r="N41" s="4" t="s">
        <v>4</v>
      </c>
      <c r="O41" s="4">
        <v>2</v>
      </c>
      <c r="P41" s="4"/>
    </row>
    <row r="42" spans="1:16" x14ac:dyDescent="0.25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0</v>
      </c>
      <c r="G42" s="4" t="s">
        <v>82</v>
      </c>
      <c r="H42" s="4" t="s">
        <v>83</v>
      </c>
      <c r="I42" s="4"/>
      <c r="J42" s="4"/>
      <c r="K42" s="4">
        <v>209</v>
      </c>
      <c r="L42" s="4">
        <v>23</v>
      </c>
      <c r="M42" s="4">
        <v>3</v>
      </c>
      <c r="N42" s="4" t="s">
        <v>4</v>
      </c>
      <c r="O42" s="4">
        <v>2</v>
      </c>
      <c r="P42" s="4"/>
    </row>
    <row r="43" spans="1:16" x14ac:dyDescent="0.25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84</v>
      </c>
      <c r="H43" s="4" t="s">
        <v>85</v>
      </c>
      <c r="I43" s="4"/>
      <c r="J43" s="4"/>
      <c r="K43" s="4">
        <v>233</v>
      </c>
      <c r="L43" s="4">
        <v>24</v>
      </c>
      <c r="M43" s="4">
        <v>3</v>
      </c>
      <c r="N43" s="4" t="s">
        <v>4</v>
      </c>
      <c r="O43" s="4">
        <v>2</v>
      </c>
      <c r="P43" s="4"/>
    </row>
    <row r="44" spans="1:16" x14ac:dyDescent="0.25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17514.77</v>
      </c>
      <c r="G44" s="4" t="s">
        <v>86</v>
      </c>
      <c r="H44" s="4" t="s">
        <v>87</v>
      </c>
      <c r="I44" s="4"/>
      <c r="J44" s="4"/>
      <c r="K44" s="4">
        <v>210</v>
      </c>
      <c r="L44" s="4">
        <v>25</v>
      </c>
      <c r="M44" s="4">
        <v>3</v>
      </c>
      <c r="N44" s="4" t="s">
        <v>4</v>
      </c>
      <c r="O44" s="4">
        <v>2</v>
      </c>
      <c r="P44" s="4"/>
    </row>
    <row r="45" spans="1:16" x14ac:dyDescent="0.25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8368.17</v>
      </c>
      <c r="G45" s="4" t="s">
        <v>88</v>
      </c>
      <c r="H45" s="4" t="s">
        <v>89</v>
      </c>
      <c r="I45" s="4"/>
      <c r="J45" s="4"/>
      <c r="K45" s="4">
        <v>211</v>
      </c>
      <c r="L45" s="4">
        <v>26</v>
      </c>
      <c r="M45" s="4">
        <v>3</v>
      </c>
      <c r="N45" s="4" t="s">
        <v>4</v>
      </c>
      <c r="O45" s="4">
        <v>2</v>
      </c>
      <c r="P45" s="4"/>
    </row>
    <row r="46" spans="1:16" x14ac:dyDescent="0.25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2875360.07</v>
      </c>
      <c r="G46" s="4" t="s">
        <v>90</v>
      </c>
      <c r="H46" s="4" t="s">
        <v>91</v>
      </c>
      <c r="I46" s="4"/>
      <c r="J46" s="4"/>
      <c r="K46" s="4">
        <v>224</v>
      </c>
      <c r="L46" s="4">
        <v>27</v>
      </c>
      <c r="M46" s="4">
        <v>3</v>
      </c>
      <c r="N46" s="4" t="s">
        <v>4</v>
      </c>
      <c r="O46" s="4">
        <v>2</v>
      </c>
      <c r="P46" s="4"/>
    </row>
    <row r="48" spans="1:16" x14ac:dyDescent="0.25">
      <c r="A48">
        <v>-1</v>
      </c>
    </row>
    <row r="51" spans="1:27" x14ac:dyDescent="0.25">
      <c r="A51" s="3">
        <v>75</v>
      </c>
      <c r="B51" s="3" t="s">
        <v>105</v>
      </c>
      <c r="C51" s="3">
        <v>2021</v>
      </c>
      <c r="D51" s="3">
        <v>0</v>
      </c>
      <c r="E51" s="3">
        <v>5</v>
      </c>
      <c r="F51" s="3"/>
      <c r="G51" s="3">
        <v>0</v>
      </c>
      <c r="H51" s="3">
        <v>2</v>
      </c>
      <c r="I51" s="3">
        <v>1</v>
      </c>
      <c r="J51" s="3">
        <v>1</v>
      </c>
      <c r="K51" s="3">
        <v>93</v>
      </c>
      <c r="L51" s="3">
        <v>64</v>
      </c>
      <c r="M51" s="3">
        <v>0</v>
      </c>
      <c r="N51" s="3">
        <v>40519780</v>
      </c>
      <c r="O51" s="3">
        <v>1</v>
      </c>
    </row>
    <row r="52" spans="1:27" x14ac:dyDescent="0.25">
      <c r="A52" s="5">
        <v>1</v>
      </c>
      <c r="B52" s="5" t="s">
        <v>106</v>
      </c>
      <c r="C52" s="5" t="s">
        <v>107</v>
      </c>
      <c r="D52" s="5">
        <v>2021</v>
      </c>
      <c r="E52" s="5">
        <v>5</v>
      </c>
      <c r="F52" s="5">
        <v>1</v>
      </c>
      <c r="G52" s="5">
        <v>1</v>
      </c>
      <c r="H52" s="5">
        <v>0</v>
      </c>
      <c r="I52" s="5">
        <v>2</v>
      </c>
      <c r="J52" s="5">
        <v>1</v>
      </c>
      <c r="K52" s="5">
        <v>5.23</v>
      </c>
      <c r="L52" s="5">
        <v>4.1100000000000003</v>
      </c>
      <c r="M52" s="5">
        <v>1</v>
      </c>
      <c r="N52" s="5">
        <v>1</v>
      </c>
      <c r="O52" s="5">
        <v>5.23</v>
      </c>
      <c r="P52" s="5">
        <v>4.1100000000000003</v>
      </c>
      <c r="Q52" s="5">
        <v>1</v>
      </c>
      <c r="R52" s="5" t="s">
        <v>4</v>
      </c>
      <c r="S52" s="5" t="s">
        <v>4</v>
      </c>
      <c r="T52" s="5" t="s">
        <v>4</v>
      </c>
      <c r="U52" s="5" t="s">
        <v>4</v>
      </c>
      <c r="V52" s="5" t="s">
        <v>4</v>
      </c>
      <c r="W52" s="5" t="s">
        <v>4</v>
      </c>
      <c r="X52" s="5" t="s">
        <v>4</v>
      </c>
      <c r="Y52" s="5" t="s">
        <v>4</v>
      </c>
      <c r="Z52" s="5" t="s">
        <v>4</v>
      </c>
      <c r="AA52" s="5" t="s">
        <v>108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C3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107" x14ac:dyDescent="0.25">
      <c r="A1">
        <f>ROW(Source!A29)</f>
        <v>29</v>
      </c>
      <c r="B1">
        <v>40519780</v>
      </c>
      <c r="C1">
        <v>40519959</v>
      </c>
      <c r="D1">
        <v>33593307</v>
      </c>
      <c r="E1">
        <v>33593301</v>
      </c>
      <c r="F1">
        <v>1</v>
      </c>
      <c r="G1">
        <v>33593301</v>
      </c>
      <c r="H1">
        <v>1</v>
      </c>
      <c r="I1" t="s">
        <v>110</v>
      </c>
      <c r="J1" t="s">
        <v>4</v>
      </c>
      <c r="K1" t="s">
        <v>111</v>
      </c>
      <c r="L1">
        <v>1191</v>
      </c>
      <c r="N1">
        <v>1013</v>
      </c>
      <c r="O1" t="s">
        <v>112</v>
      </c>
      <c r="P1" t="s">
        <v>112</v>
      </c>
      <c r="Q1">
        <v>1</v>
      </c>
      <c r="W1">
        <v>0</v>
      </c>
      <c r="X1">
        <v>476480486</v>
      </c>
      <c r="Y1">
        <v>39.744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1</v>
      </c>
      <c r="AQ1">
        <v>0</v>
      </c>
      <c r="AR1">
        <v>0</v>
      </c>
      <c r="AS1" t="s">
        <v>4</v>
      </c>
      <c r="AT1">
        <v>28.8</v>
      </c>
      <c r="AU1" t="s">
        <v>23</v>
      </c>
      <c r="AV1">
        <v>1</v>
      </c>
      <c r="AW1">
        <v>2</v>
      </c>
      <c r="AX1">
        <v>40519961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Y1*Source!I29</f>
        <v>39.744</v>
      </c>
      <c r="CY1">
        <f>AD1</f>
        <v>0</v>
      </c>
      <c r="CZ1">
        <f>AH1</f>
        <v>0</v>
      </c>
      <c r="DA1">
        <f>AL1</f>
        <v>1</v>
      </c>
      <c r="DB1">
        <f>ROUND(((ROUND(AT1*CZ1,2)*1.2)*1.15),6)</f>
        <v>0</v>
      </c>
      <c r="DC1">
        <f>ROUND(((ROUND(AT1*AG1,2)*1.2)*1.15),6)</f>
        <v>0</v>
      </c>
    </row>
    <row r="2" spans="1:107" x14ac:dyDescent="0.25">
      <c r="A2">
        <f>ROW(Source!A30)</f>
        <v>30</v>
      </c>
      <c r="B2">
        <v>40519780</v>
      </c>
      <c r="C2">
        <v>40520162</v>
      </c>
      <c r="D2">
        <v>33593307</v>
      </c>
      <c r="E2">
        <v>33593301</v>
      </c>
      <c r="F2">
        <v>1</v>
      </c>
      <c r="G2">
        <v>33593301</v>
      </c>
      <c r="H2">
        <v>1</v>
      </c>
      <c r="I2" t="s">
        <v>110</v>
      </c>
      <c r="J2" t="s">
        <v>4</v>
      </c>
      <c r="K2" t="s">
        <v>111</v>
      </c>
      <c r="L2">
        <v>1191</v>
      </c>
      <c r="N2">
        <v>1013</v>
      </c>
      <c r="O2" t="s">
        <v>112</v>
      </c>
      <c r="P2" t="s">
        <v>112</v>
      </c>
      <c r="Q2">
        <v>1</v>
      </c>
      <c r="W2">
        <v>0</v>
      </c>
      <c r="X2">
        <v>476480486</v>
      </c>
      <c r="Y2">
        <v>15.897600000000001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1</v>
      </c>
      <c r="AJ2">
        <v>1</v>
      </c>
      <c r="AK2">
        <v>1</v>
      </c>
      <c r="AL2">
        <v>1</v>
      </c>
      <c r="AN2">
        <v>0</v>
      </c>
      <c r="AO2">
        <v>1</v>
      </c>
      <c r="AP2">
        <v>1</v>
      </c>
      <c r="AQ2">
        <v>0</v>
      </c>
      <c r="AR2">
        <v>0</v>
      </c>
      <c r="AS2" t="s">
        <v>4</v>
      </c>
      <c r="AT2">
        <v>28.8</v>
      </c>
      <c r="AU2" t="s">
        <v>31</v>
      </c>
      <c r="AV2">
        <v>1</v>
      </c>
      <c r="AW2">
        <v>2</v>
      </c>
      <c r="AX2">
        <v>40520164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Y2*Source!I30</f>
        <v>15.897600000000001</v>
      </c>
      <c r="CY2">
        <f>AD2</f>
        <v>0</v>
      </c>
      <c r="CZ2">
        <f>AH2</f>
        <v>0</v>
      </c>
      <c r="DA2">
        <f>AL2</f>
        <v>1</v>
      </c>
      <c r="DB2">
        <f>ROUND((((ROUND(AT2*CZ2,2)*1.2)*1.15)*0.4),6)</f>
        <v>0</v>
      </c>
      <c r="DC2">
        <f>ROUND((((ROUND(AT2*AG2,2)*1.2)*1.15)*0.4),6)</f>
        <v>0</v>
      </c>
    </row>
    <row r="3" spans="1:107" x14ac:dyDescent="0.25">
      <c r="A3">
        <f>ROW(Source!A31)</f>
        <v>31</v>
      </c>
      <c r="B3">
        <v>40519780</v>
      </c>
      <c r="C3">
        <v>40520169</v>
      </c>
      <c r="D3">
        <v>33593307</v>
      </c>
      <c r="E3">
        <v>33593301</v>
      </c>
      <c r="F3">
        <v>1</v>
      </c>
      <c r="G3">
        <v>33593301</v>
      </c>
      <c r="H3">
        <v>1</v>
      </c>
      <c r="I3" t="s">
        <v>110</v>
      </c>
      <c r="J3" t="s">
        <v>4</v>
      </c>
      <c r="K3" t="s">
        <v>111</v>
      </c>
      <c r="L3">
        <v>1191</v>
      </c>
      <c r="N3">
        <v>1013</v>
      </c>
      <c r="O3" t="s">
        <v>112</v>
      </c>
      <c r="P3" t="s">
        <v>112</v>
      </c>
      <c r="Q3">
        <v>1</v>
      </c>
      <c r="W3">
        <v>0</v>
      </c>
      <c r="X3">
        <v>476480486</v>
      </c>
      <c r="Y3">
        <v>2.9669999999999992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1</v>
      </c>
      <c r="AK3">
        <v>1</v>
      </c>
      <c r="AL3">
        <v>1</v>
      </c>
      <c r="AN3">
        <v>0</v>
      </c>
      <c r="AO3">
        <v>1</v>
      </c>
      <c r="AP3">
        <v>1</v>
      </c>
      <c r="AQ3">
        <v>0</v>
      </c>
      <c r="AR3">
        <v>0</v>
      </c>
      <c r="AS3" t="s">
        <v>4</v>
      </c>
      <c r="AT3">
        <v>2.15</v>
      </c>
      <c r="AU3" t="s">
        <v>37</v>
      </c>
      <c r="AV3">
        <v>1</v>
      </c>
      <c r="AW3">
        <v>2</v>
      </c>
      <c r="AX3">
        <v>40520172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Y3*Source!I31</f>
        <v>2.9669999999999992</v>
      </c>
      <c r="CY3">
        <f>AD3</f>
        <v>0</v>
      </c>
      <c r="CZ3">
        <f>AH3</f>
        <v>0</v>
      </c>
      <c r="DA3">
        <f>AL3</f>
        <v>1</v>
      </c>
      <c r="DB3">
        <f>ROUND(((ROUND(AT3*CZ3,2)*1.2)*1.15),6)</f>
        <v>0</v>
      </c>
      <c r="DC3">
        <f>ROUND(((ROUND(AT3*AG3,2)*1.2)*1.15),6)</f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"/>
  <sheetViews>
    <sheetView workbookViewId="0"/>
  </sheetViews>
  <sheetFormatPr defaultColWidth="9.109375" defaultRowHeight="13.2" x14ac:dyDescent="0.25"/>
  <cols>
    <col min="1" max="256" width="9.109375" customWidth="1"/>
  </cols>
  <sheetData>
    <row r="1" spans="1:44" x14ac:dyDescent="0.25">
      <c r="A1">
        <f>ROW(Source!A29)</f>
        <v>29</v>
      </c>
      <c r="B1">
        <v>40519961</v>
      </c>
      <c r="C1">
        <v>40519959</v>
      </c>
      <c r="D1">
        <v>33593307</v>
      </c>
      <c r="E1">
        <v>33593301</v>
      </c>
      <c r="F1">
        <v>1</v>
      </c>
      <c r="G1">
        <v>33593301</v>
      </c>
      <c r="H1">
        <v>1</v>
      </c>
      <c r="I1" t="s">
        <v>110</v>
      </c>
      <c r="J1" t="s">
        <v>4</v>
      </c>
      <c r="K1" t="s">
        <v>111</v>
      </c>
      <c r="L1">
        <v>1191</v>
      </c>
      <c r="N1">
        <v>1013</v>
      </c>
      <c r="O1" t="s">
        <v>112</v>
      </c>
      <c r="P1" t="s">
        <v>112</v>
      </c>
      <c r="Q1">
        <v>1</v>
      </c>
      <c r="X1">
        <v>28.8</v>
      </c>
      <c r="Y1">
        <v>0</v>
      </c>
      <c r="Z1">
        <v>0</v>
      </c>
      <c r="AA1">
        <v>0</v>
      </c>
      <c r="AB1">
        <v>0</v>
      </c>
      <c r="AC1">
        <v>0</v>
      </c>
      <c r="AD1">
        <v>1</v>
      </c>
      <c r="AE1">
        <v>1</v>
      </c>
      <c r="AF1" t="s">
        <v>23</v>
      </c>
      <c r="AG1">
        <v>39.744</v>
      </c>
      <c r="AH1">
        <v>2</v>
      </c>
      <c r="AI1">
        <v>40519960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 x14ac:dyDescent="0.25">
      <c r="A2">
        <f>ROW(Source!A30)</f>
        <v>30</v>
      </c>
      <c r="B2">
        <v>40520164</v>
      </c>
      <c r="C2">
        <v>40520162</v>
      </c>
      <c r="D2">
        <v>33593307</v>
      </c>
      <c r="E2">
        <v>33593301</v>
      </c>
      <c r="F2">
        <v>1</v>
      </c>
      <c r="G2">
        <v>33593301</v>
      </c>
      <c r="H2">
        <v>1</v>
      </c>
      <c r="I2" t="s">
        <v>110</v>
      </c>
      <c r="J2" t="s">
        <v>4</v>
      </c>
      <c r="K2" t="s">
        <v>111</v>
      </c>
      <c r="L2">
        <v>1191</v>
      </c>
      <c r="N2">
        <v>1013</v>
      </c>
      <c r="O2" t="s">
        <v>112</v>
      </c>
      <c r="P2" t="s">
        <v>112</v>
      </c>
      <c r="Q2">
        <v>1</v>
      </c>
      <c r="X2">
        <v>28.8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 t="s">
        <v>31</v>
      </c>
      <c r="AG2">
        <v>15.897600000000001</v>
      </c>
      <c r="AH2">
        <v>2</v>
      </c>
      <c r="AI2">
        <v>40520163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 x14ac:dyDescent="0.25">
      <c r="A3">
        <f>ROW(Source!A31)</f>
        <v>31</v>
      </c>
      <c r="B3">
        <v>40520172</v>
      </c>
      <c r="C3">
        <v>40520169</v>
      </c>
      <c r="D3">
        <v>33593307</v>
      </c>
      <c r="E3">
        <v>33593301</v>
      </c>
      <c r="F3">
        <v>1</v>
      </c>
      <c r="G3">
        <v>33593301</v>
      </c>
      <c r="H3">
        <v>1</v>
      </c>
      <c r="I3" t="s">
        <v>110</v>
      </c>
      <c r="J3" t="s">
        <v>4</v>
      </c>
      <c r="K3" t="s">
        <v>111</v>
      </c>
      <c r="L3">
        <v>1191</v>
      </c>
      <c r="N3">
        <v>1013</v>
      </c>
      <c r="O3" t="s">
        <v>112</v>
      </c>
      <c r="P3" t="s">
        <v>112</v>
      </c>
      <c r="Q3">
        <v>1</v>
      </c>
      <c r="X3">
        <v>2.15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>
        <v>1</v>
      </c>
      <c r="AF3" t="s">
        <v>37</v>
      </c>
      <c r="AG3">
        <v>2.9669999999999992</v>
      </c>
      <c r="AH3">
        <v>2</v>
      </c>
      <c r="AI3">
        <v>40520172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по ТСН-2001</vt:lpstr>
      <vt:lpstr>Source</vt:lpstr>
      <vt:lpstr>SourceObSm</vt:lpstr>
      <vt:lpstr>SmtRes</vt:lpstr>
      <vt:lpstr>EtalonRes</vt:lpstr>
      <vt:lpstr>'Смета по ТСН-2001'!Заголовки_для_печати</vt:lpstr>
      <vt:lpstr>'Смета по ТСН-2001'!Область_печати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Пискунова Наталья Вячеславовна</cp:lastModifiedBy>
  <dcterms:created xsi:type="dcterms:W3CDTF">2023-03-21T11:30:44Z</dcterms:created>
  <dcterms:modified xsi:type="dcterms:W3CDTF">2023-03-22T06:49:01Z</dcterms:modified>
</cp:coreProperties>
</file>