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520" windowHeight="9660"/>
  </bookViews>
  <sheets>
    <sheet name="Смета по ТСН-2001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по ТСН-2001'!$27:$27</definedName>
    <definedName name="_xlnm.Print_Area" localSheetId="0">'Смета по ТСН-2001'!$A$1:$K$212</definedName>
  </definedNames>
  <calcPr calcId="145621"/>
</workbook>
</file>

<file path=xl/calcChain.xml><?xml version="1.0" encoding="utf-8"?>
<calcChain xmlns="http://schemas.openxmlformats.org/spreadsheetml/2006/main">
  <c r="K200" i="5" l="1"/>
  <c r="A197" i="5"/>
  <c r="A6" i="5"/>
  <c r="C210" i="5" l="1"/>
  <c r="C207" i="5"/>
  <c r="J22" i="5"/>
  <c r="J19" i="5"/>
  <c r="J18" i="5"/>
  <c r="J17" i="5"/>
  <c r="J16" i="5"/>
  <c r="J15" i="5"/>
  <c r="J14" i="5"/>
  <c r="I22" i="5"/>
  <c r="I199" i="5"/>
  <c r="J199" i="5"/>
  <c r="I198" i="5"/>
  <c r="J198" i="5"/>
  <c r="J195" i="5"/>
  <c r="C195" i="5"/>
  <c r="J194" i="5"/>
  <c r="C194" i="5"/>
  <c r="J193" i="5"/>
  <c r="C193" i="5"/>
  <c r="J192" i="5"/>
  <c r="C192" i="5"/>
  <c r="J191" i="5"/>
  <c r="C191" i="5"/>
  <c r="J190" i="5"/>
  <c r="C190" i="5"/>
  <c r="J189" i="5"/>
  <c r="C189" i="5"/>
  <c r="J188" i="5"/>
  <c r="C188" i="5"/>
  <c r="J187" i="5"/>
  <c r="C187" i="5"/>
  <c r="J186" i="5"/>
  <c r="C186" i="5"/>
  <c r="J185" i="5"/>
  <c r="C185" i="5"/>
  <c r="I184" i="5"/>
  <c r="J184" i="5"/>
  <c r="I183" i="5"/>
  <c r="J183" i="5"/>
  <c r="I180" i="5"/>
  <c r="J180" i="5"/>
  <c r="I179" i="5"/>
  <c r="J179" i="5"/>
  <c r="A178" i="5"/>
  <c r="C176" i="5"/>
  <c r="C175" i="5"/>
  <c r="AA173" i="5"/>
  <c r="Y173" i="5"/>
  <c r="X173" i="5"/>
  <c r="K172" i="5"/>
  <c r="J173" i="5" s="1"/>
  <c r="J172" i="5"/>
  <c r="I172" i="5"/>
  <c r="O173" i="5" s="1"/>
  <c r="H172" i="5"/>
  <c r="G172" i="5"/>
  <c r="F172" i="5"/>
  <c r="V172" i="5"/>
  <c r="T172" i="5"/>
  <c r="R172" i="5"/>
  <c r="U172" i="5"/>
  <c r="S172" i="5"/>
  <c r="Q172" i="5"/>
  <c r="E172" i="5"/>
  <c r="D172" i="5"/>
  <c r="B172" i="5"/>
  <c r="A172" i="5"/>
  <c r="AA170" i="5"/>
  <c r="Y170" i="5"/>
  <c r="X170" i="5"/>
  <c r="K169" i="5"/>
  <c r="J170" i="5" s="1"/>
  <c r="J169" i="5"/>
  <c r="I169" i="5"/>
  <c r="O170" i="5" s="1"/>
  <c r="H169" i="5"/>
  <c r="G169" i="5"/>
  <c r="F169" i="5"/>
  <c r="V169" i="5"/>
  <c r="T169" i="5"/>
  <c r="R169" i="5"/>
  <c r="U169" i="5"/>
  <c r="S169" i="5"/>
  <c r="Q169" i="5"/>
  <c r="E169" i="5"/>
  <c r="D169" i="5"/>
  <c r="B169" i="5"/>
  <c r="A169" i="5"/>
  <c r="AA167" i="5"/>
  <c r="Y167" i="5"/>
  <c r="X167" i="5"/>
  <c r="K166" i="5"/>
  <c r="P167" i="5" s="1"/>
  <c r="J166" i="5"/>
  <c r="I166" i="5"/>
  <c r="O167" i="5" s="1"/>
  <c r="H166" i="5"/>
  <c r="G166" i="5"/>
  <c r="F166" i="5"/>
  <c r="V166" i="5"/>
  <c r="T166" i="5"/>
  <c r="R166" i="5"/>
  <c r="U166" i="5"/>
  <c r="S166" i="5"/>
  <c r="Q166" i="5"/>
  <c r="E166" i="5"/>
  <c r="D166" i="5"/>
  <c r="B166" i="5"/>
  <c r="A166" i="5"/>
  <c r="AA164" i="5"/>
  <c r="Y164" i="5"/>
  <c r="X164" i="5"/>
  <c r="K163" i="5"/>
  <c r="P164" i="5" s="1"/>
  <c r="J163" i="5"/>
  <c r="I163" i="5"/>
  <c r="O164" i="5" s="1"/>
  <c r="H163" i="5"/>
  <c r="G163" i="5"/>
  <c r="F163" i="5"/>
  <c r="V163" i="5"/>
  <c r="T163" i="5"/>
  <c r="R163" i="5"/>
  <c r="U163" i="5"/>
  <c r="S163" i="5"/>
  <c r="Q163" i="5"/>
  <c r="E163" i="5"/>
  <c r="D163" i="5"/>
  <c r="B163" i="5"/>
  <c r="A163" i="5"/>
  <c r="AA161" i="5"/>
  <c r="Y161" i="5"/>
  <c r="X161" i="5"/>
  <c r="K160" i="5"/>
  <c r="J161" i="5" s="1"/>
  <c r="J160" i="5"/>
  <c r="I160" i="5"/>
  <c r="O161" i="5" s="1"/>
  <c r="H160" i="5"/>
  <c r="G160" i="5"/>
  <c r="F160" i="5"/>
  <c r="V160" i="5"/>
  <c r="T160" i="5"/>
  <c r="R160" i="5"/>
  <c r="U160" i="5"/>
  <c r="S160" i="5"/>
  <c r="Q160" i="5"/>
  <c r="E160" i="5"/>
  <c r="D160" i="5"/>
  <c r="B160" i="5"/>
  <c r="A160" i="5"/>
  <c r="AA158" i="5"/>
  <c r="Y158" i="5"/>
  <c r="X158" i="5"/>
  <c r="K157" i="5"/>
  <c r="J158" i="5" s="1"/>
  <c r="J157" i="5"/>
  <c r="I157" i="5"/>
  <c r="O158" i="5" s="1"/>
  <c r="H157" i="5"/>
  <c r="G157" i="5"/>
  <c r="F157" i="5"/>
  <c r="V157" i="5"/>
  <c r="T157" i="5"/>
  <c r="R157" i="5"/>
  <c r="U157" i="5"/>
  <c r="S157" i="5"/>
  <c r="Q157" i="5"/>
  <c r="E157" i="5"/>
  <c r="D157" i="5"/>
  <c r="B157" i="5"/>
  <c r="A157" i="5"/>
  <c r="AA155" i="5"/>
  <c r="Y155" i="5"/>
  <c r="X155" i="5"/>
  <c r="K154" i="5"/>
  <c r="P155" i="5" s="1"/>
  <c r="J154" i="5"/>
  <c r="I154" i="5"/>
  <c r="O155" i="5" s="1"/>
  <c r="H154" i="5"/>
  <c r="G154" i="5"/>
  <c r="F154" i="5"/>
  <c r="V154" i="5"/>
  <c r="T154" i="5"/>
  <c r="R154" i="5"/>
  <c r="U154" i="5"/>
  <c r="S154" i="5"/>
  <c r="Q154" i="5"/>
  <c r="E154" i="5"/>
  <c r="D154" i="5"/>
  <c r="B154" i="5"/>
  <c r="A154" i="5"/>
  <c r="AA152" i="5"/>
  <c r="Y152" i="5"/>
  <c r="X152" i="5"/>
  <c r="K151" i="5"/>
  <c r="P152" i="5" s="1"/>
  <c r="J151" i="5"/>
  <c r="I151" i="5"/>
  <c r="O152" i="5" s="1"/>
  <c r="H151" i="5"/>
  <c r="G151" i="5"/>
  <c r="F151" i="5"/>
  <c r="V151" i="5"/>
  <c r="T151" i="5"/>
  <c r="R151" i="5"/>
  <c r="U151" i="5"/>
  <c r="S151" i="5"/>
  <c r="Q151" i="5"/>
  <c r="E151" i="5"/>
  <c r="D151" i="5"/>
  <c r="B151" i="5"/>
  <c r="A151" i="5"/>
  <c r="AA149" i="5"/>
  <c r="Y149" i="5"/>
  <c r="X149" i="5"/>
  <c r="K148" i="5"/>
  <c r="J149" i="5" s="1"/>
  <c r="J148" i="5"/>
  <c r="I148" i="5"/>
  <c r="O149" i="5" s="1"/>
  <c r="H148" i="5"/>
  <c r="G148" i="5"/>
  <c r="F148" i="5"/>
  <c r="V148" i="5"/>
  <c r="T148" i="5"/>
  <c r="R148" i="5"/>
  <c r="U148" i="5"/>
  <c r="S148" i="5"/>
  <c r="Q148" i="5"/>
  <c r="E148" i="5"/>
  <c r="D148" i="5"/>
  <c r="B148" i="5"/>
  <c r="A148" i="5"/>
  <c r="AA146" i="5"/>
  <c r="Y146" i="5"/>
  <c r="X146" i="5"/>
  <c r="K145" i="5"/>
  <c r="J146" i="5" s="1"/>
  <c r="J145" i="5"/>
  <c r="I145" i="5"/>
  <c r="O146" i="5" s="1"/>
  <c r="H145" i="5"/>
  <c r="G145" i="5"/>
  <c r="F145" i="5"/>
  <c r="V145" i="5"/>
  <c r="T145" i="5"/>
  <c r="R145" i="5"/>
  <c r="U145" i="5"/>
  <c r="S145" i="5"/>
  <c r="Q145" i="5"/>
  <c r="E145" i="5"/>
  <c r="D145" i="5"/>
  <c r="B145" i="5"/>
  <c r="A145" i="5"/>
  <c r="AA143" i="5"/>
  <c r="Y143" i="5"/>
  <c r="X143" i="5"/>
  <c r="K142" i="5"/>
  <c r="P143" i="5" s="1"/>
  <c r="J142" i="5"/>
  <c r="I142" i="5"/>
  <c r="O143" i="5" s="1"/>
  <c r="H142" i="5"/>
  <c r="G142" i="5"/>
  <c r="F142" i="5"/>
  <c r="V142" i="5"/>
  <c r="T142" i="5"/>
  <c r="R142" i="5"/>
  <c r="U142" i="5"/>
  <c r="S142" i="5"/>
  <c r="Q142" i="5"/>
  <c r="E142" i="5"/>
  <c r="D142" i="5"/>
  <c r="B142" i="5"/>
  <c r="A142" i="5"/>
  <c r="AA140" i="5"/>
  <c r="Y140" i="5"/>
  <c r="X140" i="5"/>
  <c r="K139" i="5"/>
  <c r="P140" i="5" s="1"/>
  <c r="J139" i="5"/>
  <c r="I139" i="5"/>
  <c r="O140" i="5" s="1"/>
  <c r="H139" i="5"/>
  <c r="G139" i="5"/>
  <c r="F139" i="5"/>
  <c r="V139" i="5"/>
  <c r="T139" i="5"/>
  <c r="R139" i="5"/>
  <c r="U139" i="5"/>
  <c r="S139" i="5"/>
  <c r="Q139" i="5"/>
  <c r="E139" i="5"/>
  <c r="D139" i="5"/>
  <c r="B139" i="5"/>
  <c r="A139" i="5"/>
  <c r="AA137" i="5"/>
  <c r="Y137" i="5"/>
  <c r="X137" i="5"/>
  <c r="K136" i="5"/>
  <c r="J137" i="5" s="1"/>
  <c r="J136" i="5"/>
  <c r="I136" i="5"/>
  <c r="O137" i="5" s="1"/>
  <c r="H136" i="5"/>
  <c r="G136" i="5"/>
  <c r="F136" i="5"/>
  <c r="V136" i="5"/>
  <c r="T136" i="5"/>
  <c r="R136" i="5"/>
  <c r="U136" i="5"/>
  <c r="S136" i="5"/>
  <c r="Q136" i="5"/>
  <c r="E136" i="5"/>
  <c r="D136" i="5"/>
  <c r="B136" i="5"/>
  <c r="A136" i="5"/>
  <c r="A135" i="5"/>
  <c r="I133" i="5"/>
  <c r="J133" i="5"/>
  <c r="I132" i="5"/>
  <c r="J132" i="5"/>
  <c r="A131" i="5"/>
  <c r="AA128" i="5"/>
  <c r="Z128" i="5"/>
  <c r="X128" i="5"/>
  <c r="K127" i="5"/>
  <c r="P128" i="5" s="1"/>
  <c r="J127" i="5"/>
  <c r="I127" i="5"/>
  <c r="O128" i="5" s="1"/>
  <c r="H127" i="5"/>
  <c r="G127" i="5"/>
  <c r="F127" i="5"/>
  <c r="V127" i="5"/>
  <c r="T127" i="5"/>
  <c r="R127" i="5"/>
  <c r="U127" i="5"/>
  <c r="S127" i="5"/>
  <c r="Q127" i="5"/>
  <c r="E127" i="5"/>
  <c r="D127" i="5"/>
  <c r="B127" i="5"/>
  <c r="A127" i="5"/>
  <c r="AA125" i="5"/>
  <c r="Z125" i="5"/>
  <c r="X125" i="5"/>
  <c r="C124" i="5"/>
  <c r="K123" i="5"/>
  <c r="P125" i="5" s="1"/>
  <c r="J123" i="5"/>
  <c r="I123" i="5"/>
  <c r="O125" i="5" s="1"/>
  <c r="H123" i="5"/>
  <c r="G123" i="5"/>
  <c r="F123" i="5"/>
  <c r="V123" i="5"/>
  <c r="T123" i="5"/>
  <c r="R123" i="5"/>
  <c r="U123" i="5"/>
  <c r="S123" i="5"/>
  <c r="Q123" i="5"/>
  <c r="E123" i="5"/>
  <c r="D123" i="5"/>
  <c r="B123" i="5"/>
  <c r="A123" i="5"/>
  <c r="AA121" i="5"/>
  <c r="Z121" i="5"/>
  <c r="X121" i="5"/>
  <c r="I120" i="5"/>
  <c r="AB120" i="5" s="1"/>
  <c r="H120" i="5"/>
  <c r="G120" i="5"/>
  <c r="E120" i="5"/>
  <c r="J119" i="5"/>
  <c r="E119" i="5"/>
  <c r="J118" i="5"/>
  <c r="E118" i="5"/>
  <c r="J117" i="5"/>
  <c r="E117" i="5"/>
  <c r="K116" i="5"/>
  <c r="J116" i="5"/>
  <c r="I116" i="5"/>
  <c r="H116" i="5"/>
  <c r="G116" i="5"/>
  <c r="F116" i="5"/>
  <c r="K115" i="5"/>
  <c r="J115" i="5"/>
  <c r="I115" i="5"/>
  <c r="W115" i="5" s="1"/>
  <c r="H115" i="5"/>
  <c r="G115" i="5"/>
  <c r="F115" i="5"/>
  <c r="K114" i="5"/>
  <c r="J114" i="5"/>
  <c r="I114" i="5"/>
  <c r="H114" i="5"/>
  <c r="G114" i="5"/>
  <c r="F114" i="5"/>
  <c r="K113" i="5"/>
  <c r="J113" i="5"/>
  <c r="I113" i="5"/>
  <c r="W113" i="5" s="1"/>
  <c r="H113" i="5"/>
  <c r="G113" i="5"/>
  <c r="F113" i="5"/>
  <c r="C112" i="5"/>
  <c r="V111" i="5"/>
  <c r="K119" i="5" s="1"/>
  <c r="T111" i="5"/>
  <c r="K118" i="5" s="1"/>
  <c r="R111" i="5"/>
  <c r="K117" i="5" s="1"/>
  <c r="U111" i="5"/>
  <c r="I119" i="5" s="1"/>
  <c r="S111" i="5"/>
  <c r="I118" i="5" s="1"/>
  <c r="Q111" i="5"/>
  <c r="I117" i="5" s="1"/>
  <c r="E111" i="5"/>
  <c r="D111" i="5"/>
  <c r="B111" i="5"/>
  <c r="A111" i="5"/>
  <c r="AA109" i="5"/>
  <c r="Z109" i="5"/>
  <c r="X109" i="5"/>
  <c r="C108" i="5"/>
  <c r="K107" i="5"/>
  <c r="P109" i="5" s="1"/>
  <c r="J107" i="5"/>
  <c r="I107" i="5"/>
  <c r="H109" i="5" s="1"/>
  <c r="H107" i="5"/>
  <c r="G107" i="5"/>
  <c r="F107" i="5"/>
  <c r="V107" i="5"/>
  <c r="T107" i="5"/>
  <c r="R107" i="5"/>
  <c r="U107" i="5"/>
  <c r="S107" i="5"/>
  <c r="Q107" i="5"/>
  <c r="E107" i="5"/>
  <c r="D107" i="5"/>
  <c r="B107" i="5"/>
  <c r="A107" i="5"/>
  <c r="AA105" i="5"/>
  <c r="Z105" i="5"/>
  <c r="X105" i="5"/>
  <c r="C104" i="5"/>
  <c r="K103" i="5"/>
  <c r="P105" i="5" s="1"/>
  <c r="J103" i="5"/>
  <c r="I103" i="5"/>
  <c r="O105" i="5" s="1"/>
  <c r="H103" i="5"/>
  <c r="G103" i="5"/>
  <c r="F103" i="5"/>
  <c r="V103" i="5"/>
  <c r="T103" i="5"/>
  <c r="R103" i="5"/>
  <c r="U103" i="5"/>
  <c r="S103" i="5"/>
  <c r="Q103" i="5"/>
  <c r="E103" i="5"/>
  <c r="D103" i="5"/>
  <c r="B103" i="5"/>
  <c r="A103" i="5"/>
  <c r="AA101" i="5"/>
  <c r="Z101" i="5"/>
  <c r="X101" i="5"/>
  <c r="C100" i="5"/>
  <c r="K99" i="5"/>
  <c r="J101" i="5" s="1"/>
  <c r="J99" i="5"/>
  <c r="I99" i="5"/>
  <c r="O101" i="5" s="1"/>
  <c r="H99" i="5"/>
  <c r="G99" i="5"/>
  <c r="F99" i="5"/>
  <c r="V99" i="5"/>
  <c r="T99" i="5"/>
  <c r="R99" i="5"/>
  <c r="U99" i="5"/>
  <c r="S99" i="5"/>
  <c r="Q99" i="5"/>
  <c r="E99" i="5"/>
  <c r="D99" i="5"/>
  <c r="B99" i="5"/>
  <c r="A99" i="5"/>
  <c r="AA97" i="5"/>
  <c r="Z97" i="5"/>
  <c r="X97" i="5"/>
  <c r="I96" i="5"/>
  <c r="AB96" i="5" s="1"/>
  <c r="H96" i="5"/>
  <c r="G96" i="5"/>
  <c r="E96" i="5"/>
  <c r="J95" i="5"/>
  <c r="E95" i="5"/>
  <c r="J94" i="5"/>
  <c r="E94" i="5"/>
  <c r="J93" i="5"/>
  <c r="E93" i="5"/>
  <c r="K92" i="5"/>
  <c r="J92" i="5"/>
  <c r="I92" i="5"/>
  <c r="H92" i="5"/>
  <c r="G92" i="5"/>
  <c r="F92" i="5"/>
  <c r="K91" i="5"/>
  <c r="J91" i="5"/>
  <c r="I91" i="5"/>
  <c r="W91" i="5" s="1"/>
  <c r="H91" i="5"/>
  <c r="G91" i="5"/>
  <c r="F91" i="5"/>
  <c r="K90" i="5"/>
  <c r="J90" i="5"/>
  <c r="I90" i="5"/>
  <c r="H90" i="5"/>
  <c r="G90" i="5"/>
  <c r="F90" i="5"/>
  <c r="K89" i="5"/>
  <c r="J89" i="5"/>
  <c r="I89" i="5"/>
  <c r="H89" i="5"/>
  <c r="G89" i="5"/>
  <c r="F89" i="5"/>
  <c r="C88" i="5"/>
  <c r="V87" i="5"/>
  <c r="K95" i="5" s="1"/>
  <c r="T87" i="5"/>
  <c r="K94" i="5" s="1"/>
  <c r="R87" i="5"/>
  <c r="K93" i="5" s="1"/>
  <c r="U87" i="5"/>
  <c r="I95" i="5" s="1"/>
  <c r="S87" i="5"/>
  <c r="I94" i="5" s="1"/>
  <c r="Q87" i="5"/>
  <c r="I93" i="5" s="1"/>
  <c r="E87" i="5"/>
  <c r="D87" i="5"/>
  <c r="B87" i="5"/>
  <c r="A87" i="5"/>
  <c r="AA85" i="5"/>
  <c r="Z85" i="5"/>
  <c r="X85" i="5"/>
  <c r="I84" i="5"/>
  <c r="AB84" i="5" s="1"/>
  <c r="H84" i="5"/>
  <c r="G84" i="5"/>
  <c r="E84" i="5"/>
  <c r="J83" i="5"/>
  <c r="E83" i="5"/>
  <c r="J82" i="5"/>
  <c r="E82" i="5"/>
  <c r="J81" i="5"/>
  <c r="E81" i="5"/>
  <c r="K80" i="5"/>
  <c r="J80" i="5"/>
  <c r="H80" i="5"/>
  <c r="AA80" i="5"/>
  <c r="Z80" i="5"/>
  <c r="X80" i="5"/>
  <c r="I80" i="5"/>
  <c r="Y80" i="5" s="1"/>
  <c r="F80" i="5"/>
  <c r="V80" i="5"/>
  <c r="T80" i="5"/>
  <c r="R80" i="5"/>
  <c r="U80" i="5"/>
  <c r="S80" i="5"/>
  <c r="Q80" i="5"/>
  <c r="E80" i="5"/>
  <c r="D80" i="5"/>
  <c r="B80" i="5"/>
  <c r="A80" i="5"/>
  <c r="K79" i="5"/>
  <c r="J79" i="5"/>
  <c r="I79" i="5"/>
  <c r="H79" i="5"/>
  <c r="G79" i="5"/>
  <c r="F79" i="5"/>
  <c r="K78" i="5"/>
  <c r="J78" i="5"/>
  <c r="I78" i="5"/>
  <c r="W78" i="5" s="1"/>
  <c r="H78" i="5"/>
  <c r="G78" i="5"/>
  <c r="F78" i="5"/>
  <c r="K77" i="5"/>
  <c r="J77" i="5"/>
  <c r="I77" i="5"/>
  <c r="H77" i="5"/>
  <c r="G77" i="5"/>
  <c r="F77" i="5"/>
  <c r="K76" i="5"/>
  <c r="J76" i="5"/>
  <c r="I76" i="5"/>
  <c r="H76" i="5"/>
  <c r="G76" i="5"/>
  <c r="F76" i="5"/>
  <c r="C75" i="5"/>
  <c r="V74" i="5"/>
  <c r="T74" i="5"/>
  <c r="R74" i="5"/>
  <c r="U74" i="5"/>
  <c r="S74" i="5"/>
  <c r="Q74" i="5"/>
  <c r="E74" i="5"/>
  <c r="D74" i="5"/>
  <c r="B74" i="5"/>
  <c r="A74" i="5"/>
  <c r="AA72" i="5"/>
  <c r="Z72" i="5"/>
  <c r="X72" i="5"/>
  <c r="I71" i="5"/>
  <c r="AB71" i="5" s="1"/>
  <c r="H71" i="5"/>
  <c r="G71" i="5"/>
  <c r="E71" i="5"/>
  <c r="J70" i="5"/>
  <c r="E70" i="5"/>
  <c r="J69" i="5"/>
  <c r="E69" i="5"/>
  <c r="J68" i="5"/>
  <c r="E68" i="5"/>
  <c r="K67" i="5"/>
  <c r="J67" i="5"/>
  <c r="I67" i="5"/>
  <c r="H67" i="5"/>
  <c r="G67" i="5"/>
  <c r="F67" i="5"/>
  <c r="K66" i="5"/>
  <c r="J66" i="5"/>
  <c r="I66" i="5"/>
  <c r="W66" i="5" s="1"/>
  <c r="H66" i="5"/>
  <c r="G66" i="5"/>
  <c r="F66" i="5"/>
  <c r="K65" i="5"/>
  <c r="J65" i="5"/>
  <c r="I65" i="5"/>
  <c r="H65" i="5"/>
  <c r="G65" i="5"/>
  <c r="F65" i="5"/>
  <c r="K64" i="5"/>
  <c r="J64" i="5"/>
  <c r="I64" i="5"/>
  <c r="H64" i="5"/>
  <c r="G64" i="5"/>
  <c r="F64" i="5"/>
  <c r="V63" i="5"/>
  <c r="K70" i="5" s="1"/>
  <c r="T63" i="5"/>
  <c r="K69" i="5" s="1"/>
  <c r="R63" i="5"/>
  <c r="K68" i="5" s="1"/>
  <c r="U63" i="5"/>
  <c r="I70" i="5" s="1"/>
  <c r="S63" i="5"/>
  <c r="I69" i="5" s="1"/>
  <c r="Q63" i="5"/>
  <c r="I68" i="5" s="1"/>
  <c r="E63" i="5"/>
  <c r="D63" i="5"/>
  <c r="B63" i="5"/>
  <c r="A63" i="5"/>
  <c r="AA61" i="5"/>
  <c r="Z61" i="5"/>
  <c r="X61" i="5"/>
  <c r="I60" i="5"/>
  <c r="AB60" i="5" s="1"/>
  <c r="H60" i="5"/>
  <c r="G60" i="5"/>
  <c r="E60" i="5"/>
  <c r="J59" i="5"/>
  <c r="E59" i="5"/>
  <c r="J58" i="5"/>
  <c r="E58" i="5"/>
  <c r="J57" i="5"/>
  <c r="E57" i="5"/>
  <c r="K56" i="5"/>
  <c r="J56" i="5"/>
  <c r="I56" i="5"/>
  <c r="H56" i="5"/>
  <c r="G56" i="5"/>
  <c r="F56" i="5"/>
  <c r="K55" i="5"/>
  <c r="J55" i="5"/>
  <c r="I55" i="5"/>
  <c r="W55" i="5" s="1"/>
  <c r="H55" i="5"/>
  <c r="G55" i="5"/>
  <c r="F55" i="5"/>
  <c r="K54" i="5"/>
  <c r="J54" i="5"/>
  <c r="I54" i="5"/>
  <c r="H54" i="5"/>
  <c r="G54" i="5"/>
  <c r="F54" i="5"/>
  <c r="K53" i="5"/>
  <c r="J53" i="5"/>
  <c r="I53" i="5"/>
  <c r="W53" i="5" s="1"/>
  <c r="H53" i="5"/>
  <c r="G53" i="5"/>
  <c r="F53" i="5"/>
  <c r="V52" i="5"/>
  <c r="K59" i="5" s="1"/>
  <c r="T52" i="5"/>
  <c r="K58" i="5" s="1"/>
  <c r="R52" i="5"/>
  <c r="K57" i="5" s="1"/>
  <c r="U52" i="5"/>
  <c r="I59" i="5" s="1"/>
  <c r="S52" i="5"/>
  <c r="I58" i="5" s="1"/>
  <c r="Q52" i="5"/>
  <c r="I57" i="5" s="1"/>
  <c r="E52" i="5"/>
  <c r="D52" i="5"/>
  <c r="B52" i="5"/>
  <c r="A52" i="5"/>
  <c r="AA50" i="5"/>
  <c r="Z50" i="5"/>
  <c r="X50" i="5"/>
  <c r="I49" i="5"/>
  <c r="AB49" i="5" s="1"/>
  <c r="H49" i="5"/>
  <c r="G49" i="5"/>
  <c r="E49" i="5"/>
  <c r="J48" i="5"/>
  <c r="E48" i="5"/>
  <c r="J47" i="5"/>
  <c r="E47" i="5"/>
  <c r="J46" i="5"/>
  <c r="E46" i="5"/>
  <c r="K45" i="5"/>
  <c r="J45" i="5"/>
  <c r="I45" i="5"/>
  <c r="H45" i="5"/>
  <c r="G45" i="5"/>
  <c r="F45" i="5"/>
  <c r="K44" i="5"/>
  <c r="J44" i="5"/>
  <c r="I44" i="5"/>
  <c r="W44" i="5" s="1"/>
  <c r="H44" i="5"/>
  <c r="G44" i="5"/>
  <c r="F44" i="5"/>
  <c r="K43" i="5"/>
  <c r="J43" i="5"/>
  <c r="I43" i="5"/>
  <c r="H43" i="5"/>
  <c r="G43" i="5"/>
  <c r="F43" i="5"/>
  <c r="K42" i="5"/>
  <c r="J42" i="5"/>
  <c r="I42" i="5"/>
  <c r="H42" i="5"/>
  <c r="G42" i="5"/>
  <c r="F42" i="5"/>
  <c r="V41" i="5"/>
  <c r="K48" i="5" s="1"/>
  <c r="T41" i="5"/>
  <c r="K47" i="5" s="1"/>
  <c r="R41" i="5"/>
  <c r="K46" i="5" s="1"/>
  <c r="U41" i="5"/>
  <c r="I48" i="5" s="1"/>
  <c r="S41" i="5"/>
  <c r="I47" i="5" s="1"/>
  <c r="Q41" i="5"/>
  <c r="I46" i="5" s="1"/>
  <c r="E41" i="5"/>
  <c r="D41" i="5"/>
  <c r="B41" i="5"/>
  <c r="A41" i="5"/>
  <c r="AA39" i="5"/>
  <c r="Z39" i="5"/>
  <c r="X39" i="5"/>
  <c r="I38" i="5"/>
  <c r="AB38" i="5" s="1"/>
  <c r="H38" i="5"/>
  <c r="G38" i="5"/>
  <c r="E38" i="5"/>
  <c r="J37" i="5"/>
  <c r="E37" i="5"/>
  <c r="J36" i="5"/>
  <c r="E36" i="5"/>
  <c r="J35" i="5"/>
  <c r="E35" i="5"/>
  <c r="K34" i="5"/>
  <c r="J34" i="5"/>
  <c r="I34" i="5"/>
  <c r="H34" i="5"/>
  <c r="G34" i="5"/>
  <c r="F34" i="5"/>
  <c r="K33" i="5"/>
  <c r="J33" i="5"/>
  <c r="I33" i="5"/>
  <c r="W33" i="5" s="1"/>
  <c r="H33" i="5"/>
  <c r="G33" i="5"/>
  <c r="F33" i="5"/>
  <c r="K32" i="5"/>
  <c r="J32" i="5"/>
  <c r="I32" i="5"/>
  <c r="H32" i="5"/>
  <c r="G32" i="5"/>
  <c r="F32" i="5"/>
  <c r="K31" i="5"/>
  <c r="J31" i="5"/>
  <c r="I31" i="5"/>
  <c r="W31" i="5" s="1"/>
  <c r="H31" i="5"/>
  <c r="G31" i="5"/>
  <c r="F31" i="5"/>
  <c r="V30" i="5"/>
  <c r="K37" i="5" s="1"/>
  <c r="T30" i="5"/>
  <c r="K36" i="5" s="1"/>
  <c r="R30" i="5"/>
  <c r="K35" i="5" s="1"/>
  <c r="U30" i="5"/>
  <c r="I37" i="5" s="1"/>
  <c r="S30" i="5"/>
  <c r="I36" i="5" s="1"/>
  <c r="Q30" i="5"/>
  <c r="I35" i="5" s="1"/>
  <c r="E30" i="5"/>
  <c r="D30" i="5"/>
  <c r="B30" i="5"/>
  <c r="A30" i="5"/>
  <c r="A29" i="5"/>
  <c r="A11" i="5"/>
  <c r="A1" i="5"/>
  <c r="I83" i="5" l="1"/>
  <c r="P149" i="5"/>
  <c r="J109" i="5"/>
  <c r="J152" i="5"/>
  <c r="Y105" i="5"/>
  <c r="P137" i="5"/>
  <c r="J140" i="5"/>
  <c r="P161" i="5"/>
  <c r="J164" i="5"/>
  <c r="H178" i="5"/>
  <c r="K81" i="5"/>
  <c r="J128" i="5"/>
  <c r="I20" i="5"/>
  <c r="H72" i="5"/>
  <c r="I82" i="5"/>
  <c r="K83" i="5"/>
  <c r="P146" i="5"/>
  <c r="P158" i="5"/>
  <c r="P170" i="5"/>
  <c r="P173" i="5"/>
  <c r="P121" i="5"/>
  <c r="I15" i="5"/>
  <c r="I81" i="5"/>
  <c r="O85" i="5" s="1"/>
  <c r="K82" i="5"/>
  <c r="Y101" i="5"/>
  <c r="J105" i="5"/>
  <c r="Y125" i="5"/>
  <c r="J143" i="5"/>
  <c r="J155" i="5"/>
  <c r="J167" i="5"/>
  <c r="Y39" i="5"/>
  <c r="H173" i="5"/>
  <c r="J125" i="5"/>
  <c r="I18" i="5"/>
  <c r="H101" i="5"/>
  <c r="Z173" i="5"/>
  <c r="P39" i="5"/>
  <c r="Y61" i="5"/>
  <c r="P97" i="5"/>
  <c r="O97" i="5"/>
  <c r="O39" i="5"/>
  <c r="H50" i="5"/>
  <c r="J50" i="5"/>
  <c r="O72" i="5"/>
  <c r="H121" i="5"/>
  <c r="Y121" i="5"/>
  <c r="Y97" i="5"/>
  <c r="J121" i="5"/>
  <c r="P50" i="5"/>
  <c r="P61" i="5"/>
  <c r="J72" i="5"/>
  <c r="O121" i="5"/>
  <c r="J39" i="5"/>
  <c r="O50" i="5"/>
  <c r="H61" i="5"/>
  <c r="W64" i="5"/>
  <c r="P72" i="5"/>
  <c r="Y72" i="5"/>
  <c r="H97" i="5"/>
  <c r="P101" i="5"/>
  <c r="O109" i="5"/>
  <c r="O61" i="5"/>
  <c r="Y128" i="5"/>
  <c r="H39" i="5"/>
  <c r="W42" i="5"/>
  <c r="Y50" i="5"/>
  <c r="J61" i="5"/>
  <c r="W76" i="5"/>
  <c r="J97" i="5"/>
  <c r="H105" i="5"/>
  <c r="Y109" i="5"/>
  <c r="H125" i="5"/>
  <c r="H128" i="5"/>
  <c r="H137" i="5"/>
  <c r="Z137" i="5"/>
  <c r="H140" i="5"/>
  <c r="Z140" i="5"/>
  <c r="H143" i="5"/>
  <c r="Z143" i="5"/>
  <c r="H146" i="5"/>
  <c r="Z146" i="5"/>
  <c r="H149" i="5"/>
  <c r="Z149" i="5"/>
  <c r="H152" i="5"/>
  <c r="Z152" i="5"/>
  <c r="H155" i="5"/>
  <c r="Z155" i="5"/>
  <c r="H158" i="5"/>
  <c r="Z158" i="5"/>
  <c r="H161" i="5"/>
  <c r="Z161" i="5"/>
  <c r="H164" i="5"/>
  <c r="Z164" i="5"/>
  <c r="H167" i="5"/>
  <c r="Z167" i="5"/>
  <c r="H170" i="5"/>
  <c r="Z170" i="5"/>
  <c r="W89" i="5"/>
  <c r="A1" i="4"/>
  <c r="A2" i="4"/>
  <c r="A3" i="4"/>
  <c r="A4" i="4"/>
  <c r="A5" i="4"/>
  <c r="A6" i="4"/>
  <c r="A7" i="4"/>
  <c r="A8" i="4"/>
  <c r="A9" i="4"/>
  <c r="A1" i="3"/>
  <c r="CX1" i="3"/>
  <c r="CY1" i="3"/>
  <c r="CZ1" i="3"/>
  <c r="DA1" i="3"/>
  <c r="DB1" i="3"/>
  <c r="DC1" i="3"/>
  <c r="A2" i="3"/>
  <c r="CX2" i="3"/>
  <c r="CY2" i="3"/>
  <c r="CZ2" i="3"/>
  <c r="DB2" i="3" s="1"/>
  <c r="DA2" i="3"/>
  <c r="DC2" i="3"/>
  <c r="A3" i="3"/>
  <c r="CX3" i="3"/>
  <c r="CY3" i="3"/>
  <c r="CZ3" i="3"/>
  <c r="DB3" i="3" s="1"/>
  <c r="DA3" i="3"/>
  <c r="DC3" i="3"/>
  <c r="A4" i="3"/>
  <c r="CX4" i="3"/>
  <c r="CY4" i="3"/>
  <c r="CZ4" i="3"/>
  <c r="DB4" i="3" s="1"/>
  <c r="DA4" i="3"/>
  <c r="DC4" i="3"/>
  <c r="A5" i="3"/>
  <c r="CY5" i="3"/>
  <c r="CZ5" i="3"/>
  <c r="DA5" i="3"/>
  <c r="DB5" i="3"/>
  <c r="DC5" i="3"/>
  <c r="A6" i="3"/>
  <c r="CY6" i="3"/>
  <c r="CZ6" i="3"/>
  <c r="DA6" i="3"/>
  <c r="DB6" i="3"/>
  <c r="DC6" i="3"/>
  <c r="A7" i="3"/>
  <c r="CY7" i="3"/>
  <c r="CZ7" i="3"/>
  <c r="DB7" i="3" s="1"/>
  <c r="DA7" i="3"/>
  <c r="DC7" i="3"/>
  <c r="A8" i="3"/>
  <c r="CY8" i="3"/>
  <c r="CZ8" i="3"/>
  <c r="DB8" i="3" s="1"/>
  <c r="DA8" i="3"/>
  <c r="DC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S28" i="1"/>
  <c r="CY28" i="1" s="1"/>
  <c r="X28" i="1" s="1"/>
  <c r="AC28" i="1"/>
  <c r="P28" i="1" s="1"/>
  <c r="AE28" i="1"/>
  <c r="AD28" i="1" s="1"/>
  <c r="AF28" i="1"/>
  <c r="AG28" i="1"/>
  <c r="CU28" i="1" s="1"/>
  <c r="T28" i="1" s="1"/>
  <c r="AH28" i="1"/>
  <c r="AI28" i="1"/>
  <c r="CW28" i="1" s="1"/>
  <c r="V28" i="1" s="1"/>
  <c r="AJ28" i="1"/>
  <c r="CR28" i="1"/>
  <c r="CT28" i="1"/>
  <c r="CV28" i="1"/>
  <c r="U28" i="1" s="1"/>
  <c r="CX28" i="1"/>
  <c r="W28" i="1" s="1"/>
  <c r="CZ28" i="1"/>
  <c r="Y28" i="1" s="1"/>
  <c r="FR28" i="1"/>
  <c r="GL28" i="1"/>
  <c r="GN28" i="1"/>
  <c r="GP28" i="1"/>
  <c r="GV28" i="1"/>
  <c r="HC28" i="1"/>
  <c r="GX28" i="1" s="1"/>
  <c r="C29" i="1"/>
  <c r="D29" i="1"/>
  <c r="P29" i="1"/>
  <c r="R29" i="1"/>
  <c r="GK29" i="1" s="1"/>
  <c r="AC29" i="1"/>
  <c r="AD29" i="1"/>
  <c r="AB29" i="1" s="1"/>
  <c r="AE29" i="1"/>
  <c r="Q29" i="1" s="1"/>
  <c r="AF29" i="1"/>
  <c r="AG29" i="1"/>
  <c r="AH29" i="1"/>
  <c r="CV29" i="1" s="1"/>
  <c r="U29" i="1" s="1"/>
  <c r="AI29" i="1"/>
  <c r="AJ29" i="1"/>
  <c r="CX29" i="1" s="1"/>
  <c r="W29" i="1" s="1"/>
  <c r="CQ29" i="1"/>
  <c r="CR29" i="1"/>
  <c r="CS29" i="1"/>
  <c r="CU29" i="1"/>
  <c r="T29" i="1" s="1"/>
  <c r="CW29" i="1"/>
  <c r="V29" i="1" s="1"/>
  <c r="FR29" i="1"/>
  <c r="GL29" i="1"/>
  <c r="GN29" i="1"/>
  <c r="GP29" i="1"/>
  <c r="GV29" i="1"/>
  <c r="HC29" i="1" s="1"/>
  <c r="GX29" i="1"/>
  <c r="C30" i="1"/>
  <c r="D30" i="1"/>
  <c r="S30" i="1"/>
  <c r="CY30" i="1" s="1"/>
  <c r="X30" i="1" s="1"/>
  <c r="U30" i="1"/>
  <c r="Y30" i="1"/>
  <c r="AC30" i="1"/>
  <c r="AE30" i="1"/>
  <c r="AF30" i="1"/>
  <c r="AG30" i="1"/>
  <c r="CU30" i="1" s="1"/>
  <c r="T30" i="1" s="1"/>
  <c r="AH30" i="1"/>
  <c r="AI30" i="1"/>
  <c r="CW30" i="1" s="1"/>
  <c r="V30" i="1" s="1"/>
  <c r="AJ30" i="1"/>
  <c r="CT30" i="1"/>
  <c r="CV30" i="1"/>
  <c r="CX30" i="1"/>
  <c r="W30" i="1" s="1"/>
  <c r="CZ30" i="1"/>
  <c r="FR30" i="1"/>
  <c r="GL30" i="1"/>
  <c r="GN30" i="1"/>
  <c r="GP30" i="1"/>
  <c r="GV30" i="1"/>
  <c r="HC30" i="1"/>
  <c r="GX30" i="1" s="1"/>
  <c r="C31" i="1"/>
  <c r="D31" i="1"/>
  <c r="P31" i="1"/>
  <c r="R31" i="1"/>
  <c r="GK31" i="1" s="1"/>
  <c r="V31" i="1"/>
  <c r="AC31" i="1"/>
  <c r="AD31" i="1"/>
  <c r="AE31" i="1"/>
  <c r="Q31" i="1" s="1"/>
  <c r="AF31" i="1"/>
  <c r="AG31" i="1"/>
  <c r="AH31" i="1"/>
  <c r="CV31" i="1" s="1"/>
  <c r="U31" i="1" s="1"/>
  <c r="AI31" i="1"/>
  <c r="AJ31" i="1"/>
  <c r="CX31" i="1" s="1"/>
  <c r="W31" i="1" s="1"/>
  <c r="CQ31" i="1"/>
  <c r="CR31" i="1"/>
  <c r="CS31" i="1"/>
  <c r="CU31" i="1"/>
  <c r="T31" i="1" s="1"/>
  <c r="CW31" i="1"/>
  <c r="FR31" i="1"/>
  <c r="GL31" i="1"/>
  <c r="GN31" i="1"/>
  <c r="GP31" i="1"/>
  <c r="GV31" i="1"/>
  <c r="HC31" i="1" s="1"/>
  <c r="GX31" i="1"/>
  <c r="C32" i="1"/>
  <c r="D32" i="1"/>
  <c r="I32" i="1"/>
  <c r="P32" i="1"/>
  <c r="T32" i="1"/>
  <c r="AC32" i="1"/>
  <c r="AD32" i="1"/>
  <c r="AB32" i="1" s="1"/>
  <c r="AE32" i="1"/>
  <c r="AF32" i="1"/>
  <c r="AG32" i="1"/>
  <c r="AH32" i="1"/>
  <c r="CV32" i="1" s="1"/>
  <c r="U32" i="1" s="1"/>
  <c r="AI32" i="1"/>
  <c r="AJ32" i="1"/>
  <c r="CX32" i="1" s="1"/>
  <c r="CQ32" i="1"/>
  <c r="CR32" i="1"/>
  <c r="CS32" i="1"/>
  <c r="CU32" i="1"/>
  <c r="CW32" i="1"/>
  <c r="V32" i="1" s="1"/>
  <c r="FR32" i="1"/>
  <c r="GL32" i="1"/>
  <c r="GN32" i="1"/>
  <c r="GP32" i="1"/>
  <c r="GV32" i="1"/>
  <c r="HC32" i="1" s="1"/>
  <c r="GX32" i="1" s="1"/>
  <c r="I33" i="1"/>
  <c r="Q33" i="1" s="1"/>
  <c r="R33" i="1"/>
  <c r="GK33" i="1" s="1"/>
  <c r="V33" i="1"/>
  <c r="AC33" i="1"/>
  <c r="AD33" i="1"/>
  <c r="AE33" i="1"/>
  <c r="AF33" i="1"/>
  <c r="AG33" i="1"/>
  <c r="AH33" i="1"/>
  <c r="CV33" i="1" s="1"/>
  <c r="U33" i="1" s="1"/>
  <c r="AI33" i="1"/>
  <c r="AJ33" i="1"/>
  <c r="CX33" i="1" s="1"/>
  <c r="W33" i="1" s="1"/>
  <c r="CQ33" i="1"/>
  <c r="CR33" i="1"/>
  <c r="CS33" i="1"/>
  <c r="CU33" i="1"/>
  <c r="T33" i="1" s="1"/>
  <c r="CW33" i="1"/>
  <c r="FR33" i="1"/>
  <c r="GL33" i="1"/>
  <c r="GN33" i="1"/>
  <c r="GP33" i="1"/>
  <c r="GV33" i="1"/>
  <c r="GX33" i="1"/>
  <c r="HC33" i="1"/>
  <c r="C34" i="1"/>
  <c r="D34" i="1"/>
  <c r="I34" i="1"/>
  <c r="V34" i="1"/>
  <c r="AC34" i="1"/>
  <c r="AD34" i="1"/>
  <c r="AB34" i="1" s="1"/>
  <c r="AE34" i="1"/>
  <c r="AF34" i="1"/>
  <c r="AG34" i="1"/>
  <c r="AH34" i="1"/>
  <c r="CV34" i="1" s="1"/>
  <c r="U34" i="1" s="1"/>
  <c r="AI34" i="1"/>
  <c r="AJ34" i="1"/>
  <c r="CX34" i="1" s="1"/>
  <c r="CQ34" i="1"/>
  <c r="CR34" i="1"/>
  <c r="CS34" i="1"/>
  <c r="CU34" i="1"/>
  <c r="T34" i="1" s="1"/>
  <c r="CW34" i="1"/>
  <c r="FR34" i="1"/>
  <c r="GL34" i="1"/>
  <c r="GN34" i="1"/>
  <c r="GP34" i="1"/>
  <c r="GV34" i="1"/>
  <c r="HC34" i="1" s="1"/>
  <c r="GX34" i="1"/>
  <c r="I35" i="1"/>
  <c r="P35" i="1"/>
  <c r="R35" i="1"/>
  <c r="GK35" i="1" s="1"/>
  <c r="AC35" i="1"/>
  <c r="AD35" i="1"/>
  <c r="AE35" i="1"/>
  <c r="AF35" i="1"/>
  <c r="S35" i="1" s="1"/>
  <c r="AG35" i="1"/>
  <c r="AH35" i="1"/>
  <c r="CV35" i="1" s="1"/>
  <c r="U35" i="1" s="1"/>
  <c r="AI35" i="1"/>
  <c r="AJ35" i="1"/>
  <c r="CX35" i="1" s="1"/>
  <c r="W35" i="1" s="1"/>
  <c r="CQ35" i="1"/>
  <c r="CR35" i="1"/>
  <c r="CS35" i="1"/>
  <c r="CU35" i="1"/>
  <c r="T35" i="1" s="1"/>
  <c r="CW35" i="1"/>
  <c r="V35" i="1" s="1"/>
  <c r="FR35" i="1"/>
  <c r="GL35" i="1"/>
  <c r="GN35" i="1"/>
  <c r="GP35" i="1"/>
  <c r="GV35" i="1"/>
  <c r="HC35" i="1" s="1"/>
  <c r="GX35" i="1" s="1"/>
  <c r="I36" i="1"/>
  <c r="Q36" i="1" s="1"/>
  <c r="P36" i="1"/>
  <c r="R36" i="1"/>
  <c r="GK36" i="1" s="1"/>
  <c r="AC36" i="1"/>
  <c r="AD36" i="1"/>
  <c r="AB36" i="1" s="1"/>
  <c r="AE36" i="1"/>
  <c r="AF36" i="1"/>
  <c r="S36" i="1" s="1"/>
  <c r="AG36" i="1"/>
  <c r="AH36" i="1"/>
  <c r="CV36" i="1" s="1"/>
  <c r="U36" i="1" s="1"/>
  <c r="AI36" i="1"/>
  <c r="AJ36" i="1"/>
  <c r="CX36" i="1" s="1"/>
  <c r="W36" i="1" s="1"/>
  <c r="CQ36" i="1"/>
  <c r="CR36" i="1"/>
  <c r="CS36" i="1"/>
  <c r="CU36" i="1"/>
  <c r="T36" i="1" s="1"/>
  <c r="CW36" i="1"/>
  <c r="V36" i="1" s="1"/>
  <c r="FR36" i="1"/>
  <c r="GL36" i="1"/>
  <c r="GN36" i="1"/>
  <c r="GP36" i="1"/>
  <c r="GV36" i="1"/>
  <c r="GX36" i="1"/>
  <c r="HC36" i="1"/>
  <c r="I37" i="1"/>
  <c r="P37" i="1" s="1"/>
  <c r="R37" i="1"/>
  <c r="GK37" i="1" s="1"/>
  <c r="AC37" i="1"/>
  <c r="AD37" i="1"/>
  <c r="AE37" i="1"/>
  <c r="AF37" i="1"/>
  <c r="S37" i="1" s="1"/>
  <c r="AG37" i="1"/>
  <c r="AH37" i="1"/>
  <c r="CV37" i="1" s="1"/>
  <c r="U37" i="1" s="1"/>
  <c r="AI37" i="1"/>
  <c r="AJ37" i="1"/>
  <c r="CX37" i="1" s="1"/>
  <c r="W37" i="1" s="1"/>
  <c r="CQ37" i="1"/>
  <c r="CR37" i="1"/>
  <c r="CS37" i="1"/>
  <c r="CU37" i="1"/>
  <c r="T37" i="1" s="1"/>
  <c r="CW37" i="1"/>
  <c r="V37" i="1" s="1"/>
  <c r="FR37" i="1"/>
  <c r="GL37" i="1"/>
  <c r="GN37" i="1"/>
  <c r="GP37" i="1"/>
  <c r="GV37" i="1"/>
  <c r="HC37" i="1" s="1"/>
  <c r="GX37" i="1" s="1"/>
  <c r="C38" i="1"/>
  <c r="D38" i="1"/>
  <c r="I38" i="1"/>
  <c r="CX8" i="3" s="1"/>
  <c r="R38" i="1"/>
  <c r="GK38" i="1" s="1"/>
  <c r="AC38" i="1"/>
  <c r="AD38" i="1"/>
  <c r="AE38" i="1"/>
  <c r="AF38" i="1"/>
  <c r="S38" i="1" s="1"/>
  <c r="AG38" i="1"/>
  <c r="AH38" i="1"/>
  <c r="CV38" i="1" s="1"/>
  <c r="U38" i="1" s="1"/>
  <c r="AI38" i="1"/>
  <c r="AJ38" i="1"/>
  <c r="CX38" i="1" s="1"/>
  <c r="W38" i="1" s="1"/>
  <c r="CQ38" i="1"/>
  <c r="CR38" i="1"/>
  <c r="CS38" i="1"/>
  <c r="CU38" i="1"/>
  <c r="T38" i="1" s="1"/>
  <c r="AG42" i="1" s="1"/>
  <c r="CW38" i="1"/>
  <c r="V38" i="1" s="1"/>
  <c r="FR38" i="1"/>
  <c r="GL38" i="1"/>
  <c r="GN38" i="1"/>
  <c r="GP38" i="1"/>
  <c r="GV38" i="1"/>
  <c r="HC38" i="1" s="1"/>
  <c r="GX38" i="1" s="1"/>
  <c r="I39" i="1"/>
  <c r="Q39" i="1" s="1"/>
  <c r="P39" i="1"/>
  <c r="CP39" i="1" s="1"/>
  <c r="O39" i="1" s="1"/>
  <c r="R39" i="1"/>
  <c r="GK39" i="1" s="1"/>
  <c r="AC39" i="1"/>
  <c r="AD39" i="1"/>
  <c r="AB39" i="1" s="1"/>
  <c r="AE39" i="1"/>
  <c r="AF39" i="1"/>
  <c r="S39" i="1" s="1"/>
  <c r="AG39" i="1"/>
  <c r="AH39" i="1"/>
  <c r="CV39" i="1" s="1"/>
  <c r="U39" i="1" s="1"/>
  <c r="AI39" i="1"/>
  <c r="AJ39" i="1"/>
  <c r="CX39" i="1" s="1"/>
  <c r="W39" i="1" s="1"/>
  <c r="CQ39" i="1"/>
  <c r="CR39" i="1"/>
  <c r="CS39" i="1"/>
  <c r="CU39" i="1"/>
  <c r="T39" i="1" s="1"/>
  <c r="CW39" i="1"/>
  <c r="V39" i="1" s="1"/>
  <c r="FR39" i="1"/>
  <c r="GL39" i="1"/>
  <c r="GN39" i="1"/>
  <c r="GP39" i="1"/>
  <c r="GV39" i="1"/>
  <c r="GX39" i="1"/>
  <c r="HC39" i="1"/>
  <c r="S40" i="1"/>
  <c r="CY40" i="1" s="1"/>
  <c r="X40" i="1" s="1"/>
  <c r="AC40" i="1"/>
  <c r="P40" i="1" s="1"/>
  <c r="AE40" i="1"/>
  <c r="AD40" i="1" s="1"/>
  <c r="AF40" i="1"/>
  <c r="AG40" i="1"/>
  <c r="CU40" i="1" s="1"/>
  <c r="T40" i="1" s="1"/>
  <c r="AH40" i="1"/>
  <c r="AI40" i="1"/>
  <c r="CW40" i="1" s="1"/>
  <c r="V40" i="1" s="1"/>
  <c r="AI42" i="1" s="1"/>
  <c r="AJ40" i="1"/>
  <c r="CR40" i="1"/>
  <c r="CT40" i="1"/>
  <c r="CV40" i="1"/>
  <c r="U40" i="1" s="1"/>
  <c r="CX40" i="1"/>
  <c r="W40" i="1" s="1"/>
  <c r="FR40" i="1"/>
  <c r="GL40" i="1"/>
  <c r="GN40" i="1"/>
  <c r="GP40" i="1"/>
  <c r="GV40" i="1"/>
  <c r="HC40" i="1"/>
  <c r="GX40" i="1" s="1"/>
  <c r="B42" i="1"/>
  <c r="B26" i="1" s="1"/>
  <c r="C42" i="1"/>
  <c r="C26" i="1" s="1"/>
  <c r="D42" i="1"/>
  <c r="D26" i="1" s="1"/>
  <c r="F42" i="1"/>
  <c r="F26" i="1" s="1"/>
  <c r="G42" i="1"/>
  <c r="G26" i="1" s="1"/>
  <c r="AS42" i="1"/>
  <c r="BX42" i="1"/>
  <c r="BY42" i="1"/>
  <c r="BY26" i="1" s="1"/>
  <c r="BZ42" i="1"/>
  <c r="CB42" i="1"/>
  <c r="CB26" i="1" s="1"/>
  <c r="CD42" i="1"/>
  <c r="CD26" i="1" s="1"/>
  <c r="CJ42" i="1"/>
  <c r="CJ26" i="1" s="1"/>
  <c r="CK42" i="1"/>
  <c r="CK26" i="1" s="1"/>
  <c r="CL42" i="1"/>
  <c r="CL26" i="1" s="1"/>
  <c r="CM42" i="1"/>
  <c r="CM26" i="1" s="1"/>
  <c r="D72" i="1"/>
  <c r="E74" i="1"/>
  <c r="Z74" i="1"/>
  <c r="AA74" i="1"/>
  <c r="AM74" i="1"/>
  <c r="AN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FK74" i="1"/>
  <c r="FL74" i="1"/>
  <c r="FM74" i="1"/>
  <c r="FN74" i="1"/>
  <c r="FO74" i="1"/>
  <c r="FP74" i="1"/>
  <c r="FQ74" i="1"/>
  <c r="FR74" i="1"/>
  <c r="FS74" i="1"/>
  <c r="FT74" i="1"/>
  <c r="FU74" i="1"/>
  <c r="FV74" i="1"/>
  <c r="FW74" i="1"/>
  <c r="FX74" i="1"/>
  <c r="FY74" i="1"/>
  <c r="FZ74" i="1"/>
  <c r="GA74" i="1"/>
  <c r="GB74" i="1"/>
  <c r="GC74" i="1"/>
  <c r="GD74" i="1"/>
  <c r="GE74" i="1"/>
  <c r="GF74" i="1"/>
  <c r="GG74" i="1"/>
  <c r="GH74" i="1"/>
  <c r="GI74" i="1"/>
  <c r="GJ74" i="1"/>
  <c r="GK74" i="1"/>
  <c r="GL74" i="1"/>
  <c r="GM74" i="1"/>
  <c r="GN74" i="1"/>
  <c r="GO74" i="1"/>
  <c r="GP74" i="1"/>
  <c r="GQ74" i="1"/>
  <c r="GR74" i="1"/>
  <c r="GS74" i="1"/>
  <c r="GT74" i="1"/>
  <c r="GU74" i="1"/>
  <c r="GV74" i="1"/>
  <c r="GW74" i="1"/>
  <c r="GX74" i="1"/>
  <c r="S76" i="1"/>
  <c r="CY76" i="1" s="1"/>
  <c r="X76" i="1" s="1"/>
  <c r="AC76" i="1"/>
  <c r="AE76" i="1"/>
  <c r="Q76" i="1" s="1"/>
  <c r="AF76" i="1"/>
  <c r="AG76" i="1"/>
  <c r="CU76" i="1" s="1"/>
  <c r="T76" i="1" s="1"/>
  <c r="AH76" i="1"/>
  <c r="AI76" i="1"/>
  <c r="CW76" i="1" s="1"/>
  <c r="V76" i="1" s="1"/>
  <c r="AJ76" i="1"/>
  <c r="CR76" i="1"/>
  <c r="CT76" i="1"/>
  <c r="CV76" i="1"/>
  <c r="U76" i="1" s="1"/>
  <c r="CX76" i="1"/>
  <c r="W76" i="1" s="1"/>
  <c r="CZ76" i="1"/>
  <c r="Y76" i="1" s="1"/>
  <c r="FR76" i="1"/>
  <c r="GL76" i="1"/>
  <c r="GO76" i="1"/>
  <c r="GP76" i="1"/>
  <c r="GV76" i="1"/>
  <c r="HC76" i="1"/>
  <c r="GX76" i="1" s="1"/>
  <c r="P77" i="1"/>
  <c r="R77" i="1"/>
  <c r="GK77" i="1" s="1"/>
  <c r="AC77" i="1"/>
  <c r="AD77" i="1"/>
  <c r="AB77" i="1" s="1"/>
  <c r="AE77" i="1"/>
  <c r="Q77" i="1" s="1"/>
  <c r="AF77" i="1"/>
  <c r="S77" i="1" s="1"/>
  <c r="AG77" i="1"/>
  <c r="AH77" i="1"/>
  <c r="CV77" i="1" s="1"/>
  <c r="U77" i="1" s="1"/>
  <c r="AI77" i="1"/>
  <c r="AJ77" i="1"/>
  <c r="CX77" i="1" s="1"/>
  <c r="W77" i="1" s="1"/>
  <c r="CQ77" i="1"/>
  <c r="CR77" i="1"/>
  <c r="CS77" i="1"/>
  <c r="CU77" i="1"/>
  <c r="T77" i="1" s="1"/>
  <c r="CW77" i="1"/>
  <c r="V77" i="1" s="1"/>
  <c r="FR77" i="1"/>
  <c r="GL77" i="1"/>
  <c r="GN77" i="1"/>
  <c r="GO77" i="1"/>
  <c r="GP77" i="1"/>
  <c r="GV77" i="1"/>
  <c r="HC77" i="1" s="1"/>
  <c r="GX77" i="1" s="1"/>
  <c r="S78" i="1"/>
  <c r="CY78" i="1" s="1"/>
  <c r="X78" i="1" s="1"/>
  <c r="AC78" i="1"/>
  <c r="P78" i="1" s="1"/>
  <c r="AE78" i="1"/>
  <c r="AD78" i="1" s="1"/>
  <c r="AF78" i="1"/>
  <c r="AG78" i="1"/>
  <c r="CU78" i="1" s="1"/>
  <c r="T78" i="1" s="1"/>
  <c r="AH78" i="1"/>
  <c r="AI78" i="1"/>
  <c r="CW78" i="1" s="1"/>
  <c r="V78" i="1" s="1"/>
  <c r="AJ78" i="1"/>
  <c r="CR78" i="1"/>
  <c r="CT78" i="1"/>
  <c r="CV78" i="1"/>
  <c r="U78" i="1" s="1"/>
  <c r="CX78" i="1"/>
  <c r="W78" i="1" s="1"/>
  <c r="CZ78" i="1"/>
  <c r="Y78" i="1" s="1"/>
  <c r="GL78" i="1"/>
  <c r="GN78" i="1"/>
  <c r="GO78" i="1"/>
  <c r="GP78" i="1"/>
  <c r="GV78" i="1"/>
  <c r="HC78" i="1"/>
  <c r="GX78" i="1" s="1"/>
  <c r="P79" i="1"/>
  <c r="R79" i="1"/>
  <c r="GK79" i="1" s="1"/>
  <c r="AC79" i="1"/>
  <c r="AD79" i="1"/>
  <c r="AB79" i="1" s="1"/>
  <c r="AE79" i="1"/>
  <c r="Q79" i="1" s="1"/>
  <c r="AF79" i="1"/>
  <c r="S79" i="1" s="1"/>
  <c r="AG79" i="1"/>
  <c r="AH79" i="1"/>
  <c r="CV79" i="1" s="1"/>
  <c r="U79" i="1" s="1"/>
  <c r="AI79" i="1"/>
  <c r="AJ79" i="1"/>
  <c r="CX79" i="1" s="1"/>
  <c r="W79" i="1" s="1"/>
  <c r="CQ79" i="1"/>
  <c r="CR79" i="1"/>
  <c r="CS79" i="1"/>
  <c r="CU79" i="1"/>
  <c r="T79" i="1" s="1"/>
  <c r="CW79" i="1"/>
  <c r="V79" i="1" s="1"/>
  <c r="FR79" i="1"/>
  <c r="GL79" i="1"/>
  <c r="GN79" i="1"/>
  <c r="GO79" i="1"/>
  <c r="GP79" i="1"/>
  <c r="GV79" i="1"/>
  <c r="HC79" i="1" s="1"/>
  <c r="GX79" i="1" s="1"/>
  <c r="S80" i="1"/>
  <c r="CY80" i="1" s="1"/>
  <c r="X80" i="1" s="1"/>
  <c r="AC80" i="1"/>
  <c r="AE80" i="1"/>
  <c r="Q80" i="1" s="1"/>
  <c r="AF80" i="1"/>
  <c r="AG80" i="1"/>
  <c r="CU80" i="1" s="1"/>
  <c r="T80" i="1" s="1"/>
  <c r="AH80" i="1"/>
  <c r="AI80" i="1"/>
  <c r="CW80" i="1" s="1"/>
  <c r="V80" i="1" s="1"/>
  <c r="AJ80" i="1"/>
  <c r="CR80" i="1"/>
  <c r="CT80" i="1"/>
  <c r="CV80" i="1"/>
  <c r="U80" i="1" s="1"/>
  <c r="CX80" i="1"/>
  <c r="W80" i="1" s="1"/>
  <c r="CZ80" i="1"/>
  <c r="Y80" i="1" s="1"/>
  <c r="FR80" i="1"/>
  <c r="GL80" i="1"/>
  <c r="GO80" i="1"/>
  <c r="GP80" i="1"/>
  <c r="GV80" i="1"/>
  <c r="HC80" i="1"/>
  <c r="GX80" i="1" s="1"/>
  <c r="P81" i="1"/>
  <c r="R81" i="1"/>
  <c r="GK81" i="1" s="1"/>
  <c r="AC81" i="1"/>
  <c r="AD81" i="1"/>
  <c r="AB81" i="1" s="1"/>
  <c r="AE81" i="1"/>
  <c r="Q81" i="1" s="1"/>
  <c r="AF81" i="1"/>
  <c r="S81" i="1" s="1"/>
  <c r="AG81" i="1"/>
  <c r="AH81" i="1"/>
  <c r="CV81" i="1" s="1"/>
  <c r="U81" i="1" s="1"/>
  <c r="AI81" i="1"/>
  <c r="AJ81" i="1"/>
  <c r="CX81" i="1" s="1"/>
  <c r="W81" i="1" s="1"/>
  <c r="CQ81" i="1"/>
  <c r="CR81" i="1"/>
  <c r="CS81" i="1"/>
  <c r="CU81" i="1"/>
  <c r="T81" i="1" s="1"/>
  <c r="CW81" i="1"/>
  <c r="V81" i="1" s="1"/>
  <c r="FR81" i="1"/>
  <c r="GL81" i="1"/>
  <c r="GN81" i="1"/>
  <c r="GO81" i="1"/>
  <c r="GP81" i="1"/>
  <c r="GV81" i="1"/>
  <c r="HC81" i="1" s="1"/>
  <c r="GX81" i="1" s="1"/>
  <c r="S82" i="1"/>
  <c r="CY82" i="1" s="1"/>
  <c r="X82" i="1" s="1"/>
  <c r="AC82" i="1"/>
  <c r="P82" i="1" s="1"/>
  <c r="FR82" i="1" s="1"/>
  <c r="AE82" i="1"/>
  <c r="AD82" i="1" s="1"/>
  <c r="AF82" i="1"/>
  <c r="AG82" i="1"/>
  <c r="CU82" i="1" s="1"/>
  <c r="T82" i="1" s="1"/>
  <c r="AH82" i="1"/>
  <c r="AI82" i="1"/>
  <c r="CW82" i="1" s="1"/>
  <c r="V82" i="1" s="1"/>
  <c r="AJ82" i="1"/>
  <c r="CR82" i="1"/>
  <c r="CT82" i="1"/>
  <c r="CV82" i="1"/>
  <c r="U82" i="1" s="1"/>
  <c r="CX82" i="1"/>
  <c r="W82" i="1" s="1"/>
  <c r="CZ82" i="1"/>
  <c r="Y82" i="1" s="1"/>
  <c r="GL82" i="1"/>
  <c r="GN82" i="1"/>
  <c r="GO82" i="1"/>
  <c r="GP82" i="1"/>
  <c r="GV82" i="1"/>
  <c r="HC82" i="1" s="1"/>
  <c r="GX82" i="1" s="1"/>
  <c r="P83" i="1"/>
  <c r="R83" i="1"/>
  <c r="GK83" i="1" s="1"/>
  <c r="T83" i="1"/>
  <c r="AC83" i="1"/>
  <c r="AD83" i="1"/>
  <c r="AB83" i="1" s="1"/>
  <c r="AE83" i="1"/>
  <c r="Q83" i="1" s="1"/>
  <c r="AF83" i="1"/>
  <c r="AG83" i="1"/>
  <c r="AH83" i="1"/>
  <c r="CV83" i="1" s="1"/>
  <c r="U83" i="1" s="1"/>
  <c r="AI83" i="1"/>
  <c r="AJ83" i="1"/>
  <c r="CX83" i="1" s="1"/>
  <c r="W83" i="1" s="1"/>
  <c r="CQ83" i="1"/>
  <c r="CR83" i="1"/>
  <c r="CS83" i="1"/>
  <c r="CU83" i="1"/>
  <c r="CW83" i="1"/>
  <c r="V83" i="1" s="1"/>
  <c r="FR83" i="1"/>
  <c r="GL83" i="1"/>
  <c r="GN83" i="1"/>
  <c r="GO83" i="1"/>
  <c r="GP83" i="1"/>
  <c r="GV83" i="1"/>
  <c r="HC83" i="1" s="1"/>
  <c r="GX83" i="1"/>
  <c r="Q84" i="1"/>
  <c r="S84" i="1"/>
  <c r="CY84" i="1" s="1"/>
  <c r="X84" i="1" s="1"/>
  <c r="U84" i="1"/>
  <c r="Y84" i="1"/>
  <c r="AC84" i="1"/>
  <c r="AE84" i="1"/>
  <c r="AF84" i="1"/>
  <c r="AG84" i="1"/>
  <c r="CU84" i="1" s="1"/>
  <c r="T84" i="1" s="1"/>
  <c r="AH84" i="1"/>
  <c r="AI84" i="1"/>
  <c r="CW84" i="1" s="1"/>
  <c r="V84" i="1" s="1"/>
  <c r="AJ84" i="1"/>
  <c r="CT84" i="1"/>
  <c r="CV84" i="1"/>
  <c r="CX84" i="1"/>
  <c r="W84" i="1" s="1"/>
  <c r="CZ84" i="1"/>
  <c r="GL84" i="1"/>
  <c r="GN84" i="1"/>
  <c r="GO84" i="1"/>
  <c r="GP84" i="1"/>
  <c r="GV84" i="1"/>
  <c r="HC84" i="1" s="1"/>
  <c r="GX84" i="1" s="1"/>
  <c r="P85" i="1"/>
  <c r="FR85" i="1" s="1"/>
  <c r="AC85" i="1"/>
  <c r="AE85" i="1"/>
  <c r="Q85" i="1" s="1"/>
  <c r="CP85" i="1" s="1"/>
  <c r="O85" i="1" s="1"/>
  <c r="AF85" i="1"/>
  <c r="S85" i="1" s="1"/>
  <c r="CY85" i="1" s="1"/>
  <c r="X85" i="1" s="1"/>
  <c r="AG85" i="1"/>
  <c r="CU85" i="1" s="1"/>
  <c r="T85" i="1" s="1"/>
  <c r="AH85" i="1"/>
  <c r="AI85" i="1"/>
  <c r="CW85" i="1" s="1"/>
  <c r="V85" i="1" s="1"/>
  <c r="AJ85" i="1"/>
  <c r="CQ85" i="1"/>
  <c r="CR85" i="1"/>
  <c r="CT85" i="1"/>
  <c r="CV85" i="1"/>
  <c r="U85" i="1" s="1"/>
  <c r="CX85" i="1"/>
  <c r="W85" i="1" s="1"/>
  <c r="CZ85" i="1"/>
  <c r="Y85" i="1" s="1"/>
  <c r="GL85" i="1"/>
  <c r="GN85" i="1"/>
  <c r="GO85" i="1"/>
  <c r="GP85" i="1"/>
  <c r="GV85" i="1"/>
  <c r="HC85" i="1" s="1"/>
  <c r="GX85" i="1" s="1"/>
  <c r="P86" i="1"/>
  <c r="R86" i="1"/>
  <c r="GK86" i="1" s="1"/>
  <c r="AC86" i="1"/>
  <c r="AD86" i="1"/>
  <c r="AB86" i="1" s="1"/>
  <c r="AE86" i="1"/>
  <c r="Q86" i="1" s="1"/>
  <c r="AF86" i="1"/>
  <c r="S86" i="1" s="1"/>
  <c r="AG86" i="1"/>
  <c r="AH86" i="1"/>
  <c r="CV86" i="1" s="1"/>
  <c r="U86" i="1" s="1"/>
  <c r="AI86" i="1"/>
  <c r="AJ86" i="1"/>
  <c r="CX86" i="1" s="1"/>
  <c r="W86" i="1" s="1"/>
  <c r="CQ86" i="1"/>
  <c r="CR86" i="1"/>
  <c r="CS86" i="1"/>
  <c r="CU86" i="1"/>
  <c r="T86" i="1" s="1"/>
  <c r="CW86" i="1"/>
  <c r="V86" i="1" s="1"/>
  <c r="GL86" i="1"/>
  <c r="GN86" i="1"/>
  <c r="GO86" i="1"/>
  <c r="GP86" i="1"/>
  <c r="GV86" i="1"/>
  <c r="HC86" i="1" s="1"/>
  <c r="GX86" i="1" s="1"/>
  <c r="S87" i="1"/>
  <c r="CY87" i="1" s="1"/>
  <c r="X87" i="1" s="1"/>
  <c r="AC87" i="1"/>
  <c r="AE87" i="1"/>
  <c r="R87" i="1" s="1"/>
  <c r="GK87" i="1" s="1"/>
  <c r="AF87" i="1"/>
  <c r="AG87" i="1"/>
  <c r="CU87" i="1" s="1"/>
  <c r="T87" i="1" s="1"/>
  <c r="AH87" i="1"/>
  <c r="AI87" i="1"/>
  <c r="CW87" i="1" s="1"/>
  <c r="V87" i="1" s="1"/>
  <c r="AJ87" i="1"/>
  <c r="CR87" i="1"/>
  <c r="CT87" i="1"/>
  <c r="CV87" i="1"/>
  <c r="U87" i="1" s="1"/>
  <c r="CX87" i="1"/>
  <c r="W87" i="1" s="1"/>
  <c r="GL87" i="1"/>
  <c r="GN87" i="1"/>
  <c r="GO87" i="1"/>
  <c r="GP87" i="1"/>
  <c r="GV87" i="1"/>
  <c r="HC87" i="1"/>
  <c r="GX87" i="1" s="1"/>
  <c r="P88" i="1"/>
  <c r="R88" i="1"/>
  <c r="GK88" i="1" s="1"/>
  <c r="AC88" i="1"/>
  <c r="AD88" i="1"/>
  <c r="AE88" i="1"/>
  <c r="Q88" i="1" s="1"/>
  <c r="AF88" i="1"/>
  <c r="AB88" i="1" s="1"/>
  <c r="AG88" i="1"/>
  <c r="AH88" i="1"/>
  <c r="CV88" i="1" s="1"/>
  <c r="U88" i="1" s="1"/>
  <c r="AI88" i="1"/>
  <c r="AJ88" i="1"/>
  <c r="CX88" i="1" s="1"/>
  <c r="W88" i="1" s="1"/>
  <c r="CQ88" i="1"/>
  <c r="CR88" i="1"/>
  <c r="CS88" i="1"/>
  <c r="CU88" i="1"/>
  <c r="T88" i="1" s="1"/>
  <c r="CW88" i="1"/>
  <c r="V88" i="1" s="1"/>
  <c r="FR88" i="1"/>
  <c r="GL88" i="1"/>
  <c r="GN88" i="1"/>
  <c r="GO88" i="1"/>
  <c r="GP88" i="1"/>
  <c r="GV88" i="1"/>
  <c r="GX88" i="1"/>
  <c r="HC88" i="1"/>
  <c r="S89" i="1"/>
  <c r="CY89" i="1" s="1"/>
  <c r="X89" i="1" s="1"/>
  <c r="AC89" i="1"/>
  <c r="P89" i="1" s="1"/>
  <c r="AE89" i="1"/>
  <c r="AD89" i="1" s="1"/>
  <c r="AF89" i="1"/>
  <c r="AG89" i="1"/>
  <c r="CU89" i="1" s="1"/>
  <c r="T89" i="1" s="1"/>
  <c r="AH89" i="1"/>
  <c r="AI89" i="1"/>
  <c r="CW89" i="1" s="1"/>
  <c r="V89" i="1" s="1"/>
  <c r="AJ89" i="1"/>
  <c r="CR89" i="1"/>
  <c r="CT89" i="1"/>
  <c r="CV89" i="1"/>
  <c r="U89" i="1" s="1"/>
  <c r="CX89" i="1"/>
  <c r="W89" i="1" s="1"/>
  <c r="CZ89" i="1"/>
  <c r="Y89" i="1" s="1"/>
  <c r="GL89" i="1"/>
  <c r="GN89" i="1"/>
  <c r="GO89" i="1"/>
  <c r="GP89" i="1"/>
  <c r="GV89" i="1"/>
  <c r="HC89" i="1" s="1"/>
  <c r="GX89" i="1" s="1"/>
  <c r="P90" i="1"/>
  <c r="R90" i="1"/>
  <c r="GK90" i="1" s="1"/>
  <c r="AC90" i="1"/>
  <c r="AD90" i="1"/>
  <c r="AB90" i="1" s="1"/>
  <c r="AE90" i="1"/>
  <c r="Q90" i="1" s="1"/>
  <c r="AF90" i="1"/>
  <c r="S90" i="1" s="1"/>
  <c r="AG90" i="1"/>
  <c r="AH90" i="1"/>
  <c r="CV90" i="1" s="1"/>
  <c r="U90" i="1" s="1"/>
  <c r="AI90" i="1"/>
  <c r="AJ90" i="1"/>
  <c r="CX90" i="1" s="1"/>
  <c r="W90" i="1" s="1"/>
  <c r="CQ90" i="1"/>
  <c r="CR90" i="1"/>
  <c r="CS90" i="1"/>
  <c r="CU90" i="1"/>
  <c r="T90" i="1" s="1"/>
  <c r="CW90" i="1"/>
  <c r="V90" i="1" s="1"/>
  <c r="GL90" i="1"/>
  <c r="BZ94" i="1" s="1"/>
  <c r="GN90" i="1"/>
  <c r="GO90" i="1"/>
  <c r="GP90" i="1"/>
  <c r="CD94" i="1" s="1"/>
  <c r="GV90" i="1"/>
  <c r="HC90" i="1" s="1"/>
  <c r="GX90" i="1" s="1"/>
  <c r="B94" i="1"/>
  <c r="B74" i="1" s="1"/>
  <c r="C94" i="1"/>
  <c r="C74" i="1" s="1"/>
  <c r="D94" i="1"/>
  <c r="D74" i="1" s="1"/>
  <c r="F94" i="1"/>
  <c r="F74" i="1" s="1"/>
  <c r="G94" i="1"/>
  <c r="G74" i="1" s="1"/>
  <c r="BX94" i="1"/>
  <c r="BX74" i="1" s="1"/>
  <c r="CC94" i="1"/>
  <c r="CG94" i="1"/>
  <c r="CK94" i="1"/>
  <c r="CL94" i="1"/>
  <c r="CL74" i="1" s="1"/>
  <c r="CM94" i="1"/>
  <c r="CM74" i="1" s="1"/>
  <c r="D124" i="1"/>
  <c r="E126" i="1"/>
  <c r="G126" i="1"/>
  <c r="P126" i="1"/>
  <c r="R126" i="1"/>
  <c r="T126" i="1"/>
  <c r="V126" i="1"/>
  <c r="X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P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EF126" i="1"/>
  <c r="EG126" i="1"/>
  <c r="EH126" i="1"/>
  <c r="EI126" i="1"/>
  <c r="EJ126" i="1"/>
  <c r="EK126" i="1"/>
  <c r="EL126" i="1"/>
  <c r="EM126" i="1"/>
  <c r="EN126" i="1"/>
  <c r="EO126" i="1"/>
  <c r="EP126" i="1"/>
  <c r="EQ126" i="1"/>
  <c r="ER126" i="1"/>
  <c r="ES126" i="1"/>
  <c r="ET126" i="1"/>
  <c r="EU126" i="1"/>
  <c r="EV126" i="1"/>
  <c r="EW126" i="1"/>
  <c r="EX126" i="1"/>
  <c r="EY126" i="1"/>
  <c r="EZ126" i="1"/>
  <c r="FA126" i="1"/>
  <c r="FB126" i="1"/>
  <c r="FC126" i="1"/>
  <c r="FD126" i="1"/>
  <c r="FE126" i="1"/>
  <c r="FF126" i="1"/>
  <c r="FG126" i="1"/>
  <c r="FH126" i="1"/>
  <c r="FI126" i="1"/>
  <c r="FJ126" i="1"/>
  <c r="FK126" i="1"/>
  <c r="FL126" i="1"/>
  <c r="FM126" i="1"/>
  <c r="FN126" i="1"/>
  <c r="FO126" i="1"/>
  <c r="FP126" i="1"/>
  <c r="FQ126" i="1"/>
  <c r="FR126" i="1"/>
  <c r="FS126" i="1"/>
  <c r="FT126" i="1"/>
  <c r="FU126" i="1"/>
  <c r="FV126" i="1"/>
  <c r="FW126" i="1"/>
  <c r="FX126" i="1"/>
  <c r="FY126" i="1"/>
  <c r="FZ126" i="1"/>
  <c r="GA126" i="1"/>
  <c r="GB126" i="1"/>
  <c r="GC126" i="1"/>
  <c r="GD126" i="1"/>
  <c r="GE126" i="1"/>
  <c r="GF126" i="1"/>
  <c r="GG126" i="1"/>
  <c r="GH126" i="1"/>
  <c r="GI126" i="1"/>
  <c r="GJ126" i="1"/>
  <c r="GK126" i="1"/>
  <c r="GL126" i="1"/>
  <c r="GM126" i="1"/>
  <c r="GN126" i="1"/>
  <c r="GO126" i="1"/>
  <c r="GP126" i="1"/>
  <c r="GQ126" i="1"/>
  <c r="GR126" i="1"/>
  <c r="GS126" i="1"/>
  <c r="GT126" i="1"/>
  <c r="GU126" i="1"/>
  <c r="GV126" i="1"/>
  <c r="GW126" i="1"/>
  <c r="GX126" i="1"/>
  <c r="B128" i="1"/>
  <c r="B126" i="1" s="1"/>
  <c r="C128" i="1"/>
  <c r="C126" i="1" s="1"/>
  <c r="D128" i="1"/>
  <c r="D126" i="1" s="1"/>
  <c r="F128" i="1"/>
  <c r="F126" i="1" s="1"/>
  <c r="G128" i="1"/>
  <c r="O128" i="1"/>
  <c r="P128" i="1"/>
  <c r="Q128" i="1"/>
  <c r="R128" i="1"/>
  <c r="S128" i="1"/>
  <c r="S126" i="1" s="1"/>
  <c r="T128" i="1"/>
  <c r="U128" i="1"/>
  <c r="V128" i="1"/>
  <c r="W128" i="1"/>
  <c r="X128" i="1"/>
  <c r="Y128" i="1"/>
  <c r="Y126" i="1" s="1"/>
  <c r="AO128" i="1"/>
  <c r="AO126" i="1" s="1"/>
  <c r="AP128" i="1"/>
  <c r="AQ128" i="1"/>
  <c r="AQ126" i="1" s="1"/>
  <c r="AR128" i="1"/>
  <c r="AS128" i="1"/>
  <c r="AS126" i="1" s="1"/>
  <c r="AT128" i="1"/>
  <c r="F146" i="1" s="1"/>
  <c r="AU128" i="1"/>
  <c r="AU126" i="1" s="1"/>
  <c r="AV128" i="1"/>
  <c r="AV126" i="1" s="1"/>
  <c r="AW128" i="1"/>
  <c r="AW126" i="1" s="1"/>
  <c r="AX128" i="1"/>
  <c r="AX126" i="1" s="1"/>
  <c r="AY128" i="1"/>
  <c r="AY126" i="1" s="1"/>
  <c r="AZ128" i="1"/>
  <c r="AZ126" i="1" s="1"/>
  <c r="BA128" i="1"/>
  <c r="BA126" i="1" s="1"/>
  <c r="BB128" i="1"/>
  <c r="BB126" i="1" s="1"/>
  <c r="BC128" i="1"/>
  <c r="BC126" i="1" s="1"/>
  <c r="BD128" i="1"/>
  <c r="BD126" i="1" s="1"/>
  <c r="F131" i="1"/>
  <c r="F134" i="1"/>
  <c r="F135" i="1"/>
  <c r="F136" i="1"/>
  <c r="F137" i="1"/>
  <c r="F138" i="1"/>
  <c r="F139" i="1"/>
  <c r="F141" i="1"/>
  <c r="F142" i="1"/>
  <c r="F143" i="1"/>
  <c r="F144" i="1"/>
  <c r="F145" i="1"/>
  <c r="F147" i="1"/>
  <c r="F149" i="1"/>
  <c r="F151" i="1"/>
  <c r="F154" i="1"/>
  <c r="B158" i="1"/>
  <c r="B22" i="1" s="1"/>
  <c r="C158" i="1"/>
  <c r="C22" i="1" s="1"/>
  <c r="D158" i="1"/>
  <c r="D22" i="1" s="1"/>
  <c r="F158" i="1"/>
  <c r="F22" i="1" s="1"/>
  <c r="G158" i="1"/>
  <c r="B188" i="1"/>
  <c r="B18" i="1" s="1"/>
  <c r="C188" i="1"/>
  <c r="C18" i="1" s="1"/>
  <c r="D188" i="1"/>
  <c r="D18" i="1" s="1"/>
  <c r="F188" i="1"/>
  <c r="F18" i="1" s="1"/>
  <c r="G188" i="1"/>
  <c r="J178" i="5" l="1"/>
  <c r="J85" i="5"/>
  <c r="P85" i="5"/>
  <c r="G22" i="1"/>
  <c r="A182" i="5"/>
  <c r="G18" i="1"/>
  <c r="Y85" i="5"/>
  <c r="I16" i="5" s="1"/>
  <c r="H85" i="5"/>
  <c r="I19" i="5"/>
  <c r="I17" i="5"/>
  <c r="H182" i="5"/>
  <c r="H131" i="5"/>
  <c r="I14" i="5"/>
  <c r="H197" i="5"/>
  <c r="J197" i="5"/>
  <c r="K201" i="5" s="1"/>
  <c r="K202" i="5" s="1"/>
  <c r="K203" i="5" s="1"/>
  <c r="J182" i="5"/>
  <c r="J131" i="5"/>
  <c r="F133" i="1"/>
  <c r="F152" i="1"/>
  <c r="W126" i="1"/>
  <c r="O126" i="1"/>
  <c r="F130" i="1"/>
  <c r="CY90" i="1"/>
  <c r="X90" i="1" s="1"/>
  <c r="CZ90" i="1"/>
  <c r="Y90" i="1" s="1"/>
  <c r="CP86" i="1"/>
  <c r="O86" i="1" s="1"/>
  <c r="AH94" i="1"/>
  <c r="F153" i="1"/>
  <c r="CK74" i="1"/>
  <c r="BB94" i="1"/>
  <c r="CP90" i="1"/>
  <c r="O90" i="1" s="1"/>
  <c r="GM90" i="1" s="1"/>
  <c r="F156" i="1"/>
  <c r="AR126" i="1"/>
  <c r="U126" i="1"/>
  <c r="F150" i="1"/>
  <c r="Q126" i="1"/>
  <c r="F140" i="1"/>
  <c r="AT126" i="1"/>
  <c r="CG74" i="1"/>
  <c r="AX94" i="1"/>
  <c r="BZ74" i="1"/>
  <c r="AQ94" i="1"/>
  <c r="FR89" i="1"/>
  <c r="AJ94" i="1"/>
  <c r="F155" i="1"/>
  <c r="CC74" i="1"/>
  <c r="AT94" i="1"/>
  <c r="CD74" i="1"/>
  <c r="AU94" i="1"/>
  <c r="CY86" i="1"/>
  <c r="X86" i="1" s="1"/>
  <c r="CZ86" i="1"/>
  <c r="Y86" i="1" s="1"/>
  <c r="AG94" i="1"/>
  <c r="AI94" i="1"/>
  <c r="CJ94" i="1"/>
  <c r="BD94" i="1"/>
  <c r="FR90" i="1"/>
  <c r="CZ87" i="1"/>
  <c r="Y87" i="1" s="1"/>
  <c r="Q87" i="1"/>
  <c r="FR86" i="1"/>
  <c r="R84" i="1"/>
  <c r="GK84" i="1" s="1"/>
  <c r="CS84" i="1"/>
  <c r="AD84" i="1"/>
  <c r="CY81" i="1"/>
  <c r="X81" i="1" s="1"/>
  <c r="CZ81" i="1"/>
  <c r="Y81" i="1" s="1"/>
  <c r="CY79" i="1"/>
  <c r="X79" i="1" s="1"/>
  <c r="CZ79" i="1"/>
  <c r="Y79" i="1" s="1"/>
  <c r="CY77" i="1"/>
  <c r="X77" i="1" s="1"/>
  <c r="CZ77" i="1"/>
  <c r="Y77" i="1" s="1"/>
  <c r="BC94" i="1"/>
  <c r="CS89" i="1"/>
  <c r="AB89" i="1"/>
  <c r="R89" i="1"/>
  <c r="GK89" i="1" s="1"/>
  <c r="CT88" i="1"/>
  <c r="S88" i="1"/>
  <c r="CQ87" i="1"/>
  <c r="AD87" i="1"/>
  <c r="AB87" i="1" s="1"/>
  <c r="P87" i="1"/>
  <c r="CS85" i="1"/>
  <c r="CR84" i="1"/>
  <c r="AB84" i="1"/>
  <c r="P84" i="1"/>
  <c r="CQ84" i="1"/>
  <c r="S83" i="1"/>
  <c r="CP83" i="1" s="1"/>
  <c r="O83" i="1" s="1"/>
  <c r="CT83" i="1"/>
  <c r="CP81" i="1"/>
  <c r="O81" i="1" s="1"/>
  <c r="GM81" i="1" s="1"/>
  <c r="CP79" i="1"/>
  <c r="O79" i="1" s="1"/>
  <c r="GM79" i="1" s="1"/>
  <c r="CP77" i="1"/>
  <c r="O77" i="1" s="1"/>
  <c r="GM77" i="1" s="1"/>
  <c r="Q89" i="1"/>
  <c r="CP89" i="1" s="1"/>
  <c r="O89" i="1" s="1"/>
  <c r="GM89" i="1" s="1"/>
  <c r="F148" i="1"/>
  <c r="F132" i="1"/>
  <c r="AO94" i="1"/>
  <c r="CT90" i="1"/>
  <c r="CQ89" i="1"/>
  <c r="CS87" i="1"/>
  <c r="CT86" i="1"/>
  <c r="AD85" i="1"/>
  <c r="AB85" i="1" s="1"/>
  <c r="R85" i="1"/>
  <c r="GK85" i="1" s="1"/>
  <c r="GM85" i="1" s="1"/>
  <c r="AB80" i="1"/>
  <c r="FR78" i="1"/>
  <c r="AI26" i="1"/>
  <c r="V42" i="1"/>
  <c r="AG26" i="1"/>
  <c r="T42" i="1"/>
  <c r="CS82" i="1"/>
  <c r="AB82" i="1"/>
  <c r="R82" i="1"/>
  <c r="GK82" i="1" s="1"/>
  <c r="CT81" i="1"/>
  <c r="CQ80" i="1"/>
  <c r="AD80" i="1"/>
  <c r="P80" i="1"/>
  <c r="CP80" i="1" s="1"/>
  <c r="O80" i="1" s="1"/>
  <c r="CS78" i="1"/>
  <c r="AB78" i="1"/>
  <c r="R78" i="1"/>
  <c r="GK78" i="1" s="1"/>
  <c r="CT77" i="1"/>
  <c r="CQ76" i="1"/>
  <c r="AD76" i="1"/>
  <c r="AB76" i="1" s="1"/>
  <c r="P76" i="1"/>
  <c r="BC42" i="1"/>
  <c r="AU42" i="1"/>
  <c r="CP36" i="1"/>
  <c r="O36" i="1" s="1"/>
  <c r="CY35" i="1"/>
  <c r="X35" i="1" s="1"/>
  <c r="CZ35" i="1"/>
  <c r="Y35" i="1" s="1"/>
  <c r="Q82" i="1"/>
  <c r="CP82" i="1" s="1"/>
  <c r="O82" i="1" s="1"/>
  <c r="GM82" i="1" s="1"/>
  <c r="Q78" i="1"/>
  <c r="AD94" i="1" s="1"/>
  <c r="BZ26" i="1"/>
  <c r="CI42" i="1"/>
  <c r="BA42" i="1"/>
  <c r="AS26" i="1"/>
  <c r="F59" i="1"/>
  <c r="CY37" i="1"/>
  <c r="X37" i="1" s="1"/>
  <c r="CZ37" i="1"/>
  <c r="Y37" i="1" s="1"/>
  <c r="CQ82" i="1"/>
  <c r="CS80" i="1"/>
  <c r="R80" i="1"/>
  <c r="GK80" i="1" s="1"/>
  <c r="CT79" i="1"/>
  <c r="CQ78" i="1"/>
  <c r="CS76" i="1"/>
  <c r="R76" i="1"/>
  <c r="AQ42" i="1"/>
  <c r="CZ39" i="1"/>
  <c r="Y39" i="1" s="1"/>
  <c r="CY39" i="1"/>
  <c r="X39" i="1" s="1"/>
  <c r="AH42" i="1"/>
  <c r="BX26" i="1"/>
  <c r="CG42" i="1"/>
  <c r="AO42" i="1"/>
  <c r="GM39" i="1"/>
  <c r="GO39" i="1"/>
  <c r="CY38" i="1"/>
  <c r="X38" i="1" s="1"/>
  <c r="CZ38" i="1"/>
  <c r="Y38" i="1" s="1"/>
  <c r="CZ36" i="1"/>
  <c r="Y36" i="1" s="1"/>
  <c r="CY36" i="1"/>
  <c r="X36" i="1" s="1"/>
  <c r="AB38" i="1"/>
  <c r="AB37" i="1"/>
  <c r="AB35" i="1"/>
  <c r="CX7" i="3"/>
  <c r="Q34" i="1"/>
  <c r="S33" i="1"/>
  <c r="CT33" i="1"/>
  <c r="AB33" i="1"/>
  <c r="S31" i="1"/>
  <c r="CP31" i="1" s="1"/>
  <c r="O31" i="1" s="1"/>
  <c r="CT31" i="1"/>
  <c r="AB31" i="1"/>
  <c r="R30" i="1"/>
  <c r="GK30" i="1" s="1"/>
  <c r="CS30" i="1"/>
  <c r="AD30" i="1"/>
  <c r="BD42" i="1"/>
  <c r="CS40" i="1"/>
  <c r="AB40" i="1"/>
  <c r="R40" i="1"/>
  <c r="GK40" i="1" s="1"/>
  <c r="CT39" i="1"/>
  <c r="Q38" i="1"/>
  <c r="Q37" i="1"/>
  <c r="CP37" i="1" s="1"/>
  <c r="O37" i="1" s="1"/>
  <c r="CT36" i="1"/>
  <c r="P33" i="1"/>
  <c r="CP33" i="1" s="1"/>
  <c r="O33" i="1" s="1"/>
  <c r="CX6" i="3"/>
  <c r="CX5" i="3"/>
  <c r="Q32" i="1"/>
  <c r="CP32" i="1" s="1"/>
  <c r="O32" i="1" s="1"/>
  <c r="CR30" i="1"/>
  <c r="AB30" i="1"/>
  <c r="P30" i="1"/>
  <c r="CQ30" i="1"/>
  <c r="CZ40" i="1"/>
  <c r="Y40" i="1" s="1"/>
  <c r="Q40" i="1"/>
  <c r="CP40" i="1" s="1"/>
  <c r="O40" i="1" s="1"/>
  <c r="P38" i="1"/>
  <c r="CP38" i="1" s="1"/>
  <c r="O38" i="1" s="1"/>
  <c r="W34" i="1"/>
  <c r="S34" i="1"/>
  <c r="CT34" i="1"/>
  <c r="R34" i="1"/>
  <c r="GK34" i="1" s="1"/>
  <c r="Q30" i="1"/>
  <c r="S29" i="1"/>
  <c r="CP29" i="1" s="1"/>
  <c r="O29" i="1" s="1"/>
  <c r="CT29" i="1"/>
  <c r="CP28" i="1"/>
  <c r="O28" i="1" s="1"/>
  <c r="BB42" i="1"/>
  <c r="AP42" i="1"/>
  <c r="CQ40" i="1"/>
  <c r="CT38" i="1"/>
  <c r="CT37" i="1"/>
  <c r="CT35" i="1"/>
  <c r="Q35" i="1"/>
  <c r="CP35" i="1" s="1"/>
  <c r="O35" i="1" s="1"/>
  <c r="P34" i="1"/>
  <c r="CP34" i="1" s="1"/>
  <c r="O34" i="1" s="1"/>
  <c r="W32" i="1"/>
  <c r="AJ42" i="1" s="1"/>
  <c r="S32" i="1"/>
  <c r="CT32" i="1"/>
  <c r="R32" i="1"/>
  <c r="GK32" i="1" s="1"/>
  <c r="CS28" i="1"/>
  <c r="AB28" i="1"/>
  <c r="R28" i="1"/>
  <c r="Q28" i="1"/>
  <c r="CQ28" i="1"/>
  <c r="GO37" i="1" l="1"/>
  <c r="GM37" i="1"/>
  <c r="GO35" i="1"/>
  <c r="GM35" i="1"/>
  <c r="AJ26" i="1"/>
  <c r="W42" i="1"/>
  <c r="GM40" i="1"/>
  <c r="GO40" i="1"/>
  <c r="CZ32" i="1"/>
  <c r="Y32" i="1" s="1"/>
  <c r="CY32" i="1"/>
  <c r="X32" i="1" s="1"/>
  <c r="GO32" i="1" s="1"/>
  <c r="AP26" i="1"/>
  <c r="F51" i="1"/>
  <c r="CZ34" i="1"/>
  <c r="Y34" i="1" s="1"/>
  <c r="CY34" i="1"/>
  <c r="X34" i="1" s="1"/>
  <c r="AD42" i="1"/>
  <c r="BB26" i="1"/>
  <c r="F55" i="1"/>
  <c r="BB158" i="1"/>
  <c r="BD26" i="1"/>
  <c r="F67" i="1"/>
  <c r="BD158" i="1"/>
  <c r="CG26" i="1"/>
  <c r="AX42" i="1"/>
  <c r="CI26" i="1"/>
  <c r="AZ42" i="1"/>
  <c r="AU26" i="1"/>
  <c r="F61" i="1"/>
  <c r="AU158" i="1"/>
  <c r="T26" i="1"/>
  <c r="F63" i="1"/>
  <c r="CZ88" i="1"/>
  <c r="Y88" i="1" s="1"/>
  <c r="CY88" i="1"/>
  <c r="X88" i="1" s="1"/>
  <c r="CJ74" i="1"/>
  <c r="BA94" i="1"/>
  <c r="AT74" i="1"/>
  <c r="F112" i="1"/>
  <c r="CP88" i="1"/>
  <c r="O88" i="1" s="1"/>
  <c r="BB74" i="1"/>
  <c r="F107" i="1"/>
  <c r="GM86" i="1"/>
  <c r="GO34" i="1"/>
  <c r="GM34" i="1"/>
  <c r="GO38" i="1"/>
  <c r="GM38" i="1"/>
  <c r="CP30" i="1"/>
  <c r="O30" i="1" s="1"/>
  <c r="AC42" i="1"/>
  <c r="BC26" i="1"/>
  <c r="F58" i="1"/>
  <c r="BC158" i="1"/>
  <c r="GM80" i="1"/>
  <c r="GN80" i="1"/>
  <c r="FR84" i="1"/>
  <c r="BY94" i="1" s="1"/>
  <c r="CP84" i="1"/>
  <c r="O84" i="1" s="1"/>
  <c r="GM84" i="1" s="1"/>
  <c r="FR87" i="1"/>
  <c r="CP87" i="1"/>
  <c r="O87" i="1" s="1"/>
  <c r="GM87" i="1" s="1"/>
  <c r="BC74" i="1"/>
  <c r="F110" i="1"/>
  <c r="AI74" i="1"/>
  <c r="V94" i="1"/>
  <c r="AX74" i="1"/>
  <c r="F101" i="1"/>
  <c r="GK28" i="1"/>
  <c r="GM28" i="1" s="1"/>
  <c r="AE42" i="1"/>
  <c r="CZ31" i="1"/>
  <c r="Y31" i="1" s="1"/>
  <c r="CY31" i="1"/>
  <c r="X31" i="1" s="1"/>
  <c r="GO31" i="1" s="1"/>
  <c r="CZ33" i="1"/>
  <c r="Y33" i="1" s="1"/>
  <c r="CY33" i="1"/>
  <c r="X33" i="1" s="1"/>
  <c r="GM33" i="1" s="1"/>
  <c r="AH26" i="1"/>
  <c r="U42" i="1"/>
  <c r="AQ26" i="1"/>
  <c r="F52" i="1"/>
  <c r="AQ158" i="1"/>
  <c r="AD74" i="1"/>
  <c r="Q94" i="1"/>
  <c r="GM36" i="1"/>
  <c r="GO36" i="1"/>
  <c r="CP76" i="1"/>
  <c r="O76" i="1" s="1"/>
  <c r="AC94" i="1"/>
  <c r="V26" i="1"/>
  <c r="F65" i="1"/>
  <c r="V158" i="1"/>
  <c r="CP78" i="1"/>
  <c r="O78" i="1" s="1"/>
  <c r="GM78" i="1" s="1"/>
  <c r="AO74" i="1"/>
  <c r="F98" i="1"/>
  <c r="AG74" i="1"/>
  <c r="T94" i="1"/>
  <c r="AU74" i="1"/>
  <c r="F113" i="1"/>
  <c r="CZ29" i="1"/>
  <c r="Y29" i="1" s="1"/>
  <c r="AL42" i="1" s="1"/>
  <c r="AF42" i="1"/>
  <c r="CY29" i="1"/>
  <c r="X29" i="1" s="1"/>
  <c r="AK42" i="1" s="1"/>
  <c r="AO26" i="1"/>
  <c r="F46" i="1"/>
  <c r="AO158" i="1"/>
  <c r="GK76" i="1"/>
  <c r="AE94" i="1"/>
  <c r="BA26" i="1"/>
  <c r="F62" i="1"/>
  <c r="BA158" i="1"/>
  <c r="CZ83" i="1"/>
  <c r="Y83" i="1" s="1"/>
  <c r="AL94" i="1" s="1"/>
  <c r="CY83" i="1"/>
  <c r="X83" i="1" s="1"/>
  <c r="GM83" i="1" s="1"/>
  <c r="AF94" i="1"/>
  <c r="AK94" i="1"/>
  <c r="BD74" i="1"/>
  <c r="F119" i="1"/>
  <c r="AJ74" i="1"/>
  <c r="W94" i="1"/>
  <c r="AQ74" i="1"/>
  <c r="F104" i="1"/>
  <c r="AH74" i="1"/>
  <c r="U94" i="1"/>
  <c r="BY74" i="1" l="1"/>
  <c r="AP94" i="1"/>
  <c r="CI94" i="1"/>
  <c r="AL74" i="1"/>
  <c r="Y94" i="1"/>
  <c r="AK74" i="1"/>
  <c r="X94" i="1"/>
  <c r="AE74" i="1"/>
  <c r="R94" i="1"/>
  <c r="V22" i="1"/>
  <c r="F181" i="1"/>
  <c r="V188" i="1"/>
  <c r="GM76" i="1"/>
  <c r="GN76" i="1"/>
  <c r="CB94" i="1" s="1"/>
  <c r="AB94" i="1"/>
  <c r="U26" i="1"/>
  <c r="F64" i="1"/>
  <c r="U158" i="1"/>
  <c r="AC26" i="1"/>
  <c r="P42" i="1"/>
  <c r="CE42" i="1"/>
  <c r="CF42" i="1"/>
  <c r="CH42" i="1"/>
  <c r="GO28" i="1"/>
  <c r="GM88" i="1"/>
  <c r="GO33" i="1"/>
  <c r="GM31" i="1"/>
  <c r="W26" i="1"/>
  <c r="F66" i="1"/>
  <c r="W158" i="1"/>
  <c r="U74" i="1"/>
  <c r="F116" i="1"/>
  <c r="BA22" i="1"/>
  <c r="F178" i="1"/>
  <c r="BA188" i="1"/>
  <c r="AK26" i="1"/>
  <c r="X42" i="1"/>
  <c r="AQ22" i="1"/>
  <c r="F168" i="1"/>
  <c r="AQ188" i="1"/>
  <c r="BC22" i="1"/>
  <c r="F174" i="1"/>
  <c r="BC188" i="1"/>
  <c r="GO30" i="1"/>
  <c r="GM30" i="1"/>
  <c r="AB42" i="1"/>
  <c r="AZ26" i="1"/>
  <c r="F53" i="1"/>
  <c r="BD22" i="1"/>
  <c r="F183" i="1"/>
  <c r="BD188" i="1"/>
  <c r="AD26" i="1"/>
  <c r="Q42" i="1"/>
  <c r="W74" i="1"/>
  <c r="F118" i="1"/>
  <c r="AF74" i="1"/>
  <c r="S94" i="1"/>
  <c r="AO22" i="1"/>
  <c r="F162" i="1"/>
  <c r="AO188" i="1"/>
  <c r="AF26" i="1"/>
  <c r="S42" i="1"/>
  <c r="T74" i="1"/>
  <c r="F115" i="1"/>
  <c r="AE26" i="1"/>
  <c r="R42" i="1"/>
  <c r="V74" i="1"/>
  <c r="F117" i="1"/>
  <c r="AU22" i="1"/>
  <c r="AU188" i="1"/>
  <c r="F177" i="1"/>
  <c r="H16" i="2" s="1"/>
  <c r="H18" i="2" s="1"/>
  <c r="BB22" i="1"/>
  <c r="F171" i="1"/>
  <c r="BB188" i="1"/>
  <c r="GM32" i="1"/>
  <c r="GO29" i="1"/>
  <c r="AL26" i="1"/>
  <c r="Y42" i="1"/>
  <c r="AC74" i="1"/>
  <c r="CF94" i="1"/>
  <c r="CH94" i="1"/>
  <c r="P94" i="1"/>
  <c r="CE94" i="1"/>
  <c r="Q74" i="1"/>
  <c r="F106" i="1"/>
  <c r="BA74" i="1"/>
  <c r="F114" i="1"/>
  <c r="T158" i="1"/>
  <c r="AX26" i="1"/>
  <c r="F49" i="1"/>
  <c r="AX158" i="1"/>
  <c r="GM29" i="1"/>
  <c r="CA42" i="1" s="1"/>
  <c r="CA26" i="1" l="1"/>
  <c r="AR42" i="1"/>
  <c r="AX22" i="1"/>
  <c r="AX188" i="1"/>
  <c r="F165" i="1"/>
  <c r="CE74" i="1"/>
  <c r="AV94" i="1"/>
  <c r="P74" i="1"/>
  <c r="F97" i="1"/>
  <c r="Y26" i="1"/>
  <c r="F69" i="1"/>
  <c r="Y158" i="1"/>
  <c r="BB18" i="1"/>
  <c r="F201" i="1"/>
  <c r="AU18" i="1"/>
  <c r="F207" i="1"/>
  <c r="R26" i="1"/>
  <c r="F56" i="1"/>
  <c r="R158" i="1"/>
  <c r="S26" i="1"/>
  <c r="F57" i="1"/>
  <c r="S158" i="1"/>
  <c r="BC18" i="1"/>
  <c r="F204" i="1"/>
  <c r="BA18" i="1"/>
  <c r="F208" i="1"/>
  <c r="CH26" i="1"/>
  <c r="AY42" i="1"/>
  <c r="AB74" i="1"/>
  <c r="O94" i="1"/>
  <c r="X74" i="1"/>
  <c r="F120" i="1"/>
  <c r="S74" i="1"/>
  <c r="F109" i="1"/>
  <c r="Q26" i="1"/>
  <c r="F54" i="1"/>
  <c r="Q158" i="1"/>
  <c r="AB26" i="1"/>
  <c r="O42" i="1"/>
  <c r="W22" i="1"/>
  <c r="W188" i="1"/>
  <c r="F182" i="1"/>
  <c r="CF26" i="1"/>
  <c r="AW42" i="1"/>
  <c r="U22" i="1"/>
  <c r="U188" i="1"/>
  <c r="F180" i="1"/>
  <c r="CB74" i="1"/>
  <c r="AS94" i="1"/>
  <c r="CI74" i="1"/>
  <c r="AZ94" i="1"/>
  <c r="CH74" i="1"/>
  <c r="AY94" i="1"/>
  <c r="CF74" i="1"/>
  <c r="AW94" i="1"/>
  <c r="AO18" i="1"/>
  <c r="F192" i="1"/>
  <c r="X26" i="1"/>
  <c r="F68" i="1"/>
  <c r="X158" i="1"/>
  <c r="CE26" i="1"/>
  <c r="AV42" i="1"/>
  <c r="CA94" i="1"/>
  <c r="R74" i="1"/>
  <c r="F108" i="1"/>
  <c r="AP74" i="1"/>
  <c r="F103" i="1"/>
  <c r="AP158" i="1"/>
  <c r="T22" i="1"/>
  <c r="F179" i="1"/>
  <c r="T188" i="1"/>
  <c r="BD18" i="1"/>
  <c r="F213" i="1"/>
  <c r="AQ18" i="1"/>
  <c r="F198" i="1"/>
  <c r="CC42" i="1"/>
  <c r="P26" i="1"/>
  <c r="F45" i="1"/>
  <c r="P158" i="1"/>
  <c r="V18" i="1"/>
  <c r="F211" i="1"/>
  <c r="Y74" i="1"/>
  <c r="F121" i="1"/>
  <c r="CC26" i="1" l="1"/>
  <c r="AT42" i="1"/>
  <c r="AP22" i="1"/>
  <c r="F167" i="1"/>
  <c r="G16" i="2" s="1"/>
  <c r="G18" i="2" s="1"/>
  <c r="AP188" i="1"/>
  <c r="X22" i="1"/>
  <c r="F184" i="1"/>
  <c r="X188" i="1"/>
  <c r="AW26" i="1"/>
  <c r="F48" i="1"/>
  <c r="AW158" i="1"/>
  <c r="AY26" i="1"/>
  <c r="F50" i="1"/>
  <c r="AY158" i="1"/>
  <c r="Y22" i="1"/>
  <c r="Y188" i="1"/>
  <c r="F185" i="1"/>
  <c r="AX18" i="1"/>
  <c r="F195" i="1"/>
  <c r="CA74" i="1"/>
  <c r="AR94" i="1"/>
  <c r="AW74" i="1"/>
  <c r="F100" i="1"/>
  <c r="AZ74" i="1"/>
  <c r="F105" i="1"/>
  <c r="AZ158" i="1"/>
  <c r="O26" i="1"/>
  <c r="F44" i="1"/>
  <c r="O158" i="1"/>
  <c r="R22" i="1"/>
  <c r="F172" i="1"/>
  <c r="R188" i="1"/>
  <c r="AV74" i="1"/>
  <c r="F99" i="1"/>
  <c r="P22" i="1"/>
  <c r="F161" i="1"/>
  <c r="P188" i="1"/>
  <c r="AV26" i="1"/>
  <c r="F47" i="1"/>
  <c r="AV158" i="1"/>
  <c r="U18" i="1"/>
  <c r="F210" i="1"/>
  <c r="O74" i="1"/>
  <c r="F96" i="1"/>
  <c r="S22" i="1"/>
  <c r="F173" i="1"/>
  <c r="J16" i="2" s="1"/>
  <c r="J18" i="2" s="1"/>
  <c r="S188" i="1"/>
  <c r="AR26" i="1"/>
  <c r="F70" i="1"/>
  <c r="AR158" i="1"/>
  <c r="T18" i="1"/>
  <c r="F209" i="1"/>
  <c r="AY74" i="1"/>
  <c r="F102" i="1"/>
  <c r="AS74" i="1"/>
  <c r="F111" i="1"/>
  <c r="AS158" i="1"/>
  <c r="W18" i="1"/>
  <c r="F212" i="1"/>
  <c r="Q22" i="1"/>
  <c r="F170" i="1"/>
  <c r="Q188" i="1"/>
  <c r="AV22" i="1" l="1"/>
  <c r="F163" i="1"/>
  <c r="AV188" i="1"/>
  <c r="R18" i="1"/>
  <c r="F202" i="1"/>
  <c r="Y18" i="1"/>
  <c r="F215" i="1"/>
  <c r="X18" i="1"/>
  <c r="F214" i="1"/>
  <c r="S18" i="1"/>
  <c r="F203" i="1"/>
  <c r="AW22" i="1"/>
  <c r="F164" i="1"/>
  <c r="AW188" i="1"/>
  <c r="Q18" i="1"/>
  <c r="F200" i="1"/>
  <c r="AZ22" i="1"/>
  <c r="AZ188" i="1"/>
  <c r="F169" i="1"/>
  <c r="AY22" i="1"/>
  <c r="F166" i="1"/>
  <c r="AY188" i="1"/>
  <c r="AT26" i="1"/>
  <c r="F60" i="1"/>
  <c r="AT158" i="1"/>
  <c r="AR22" i="1"/>
  <c r="F186" i="1"/>
  <c r="AR188" i="1"/>
  <c r="AS22" i="1"/>
  <c r="F175" i="1"/>
  <c r="E16" i="2" s="1"/>
  <c r="AS188" i="1"/>
  <c r="P18" i="1"/>
  <c r="F191" i="1"/>
  <c r="O22" i="1"/>
  <c r="O188" i="1"/>
  <c r="F160" i="1"/>
  <c r="AR74" i="1"/>
  <c r="F122" i="1"/>
  <c r="AP18" i="1"/>
  <c r="F197" i="1"/>
  <c r="O18" i="1" l="1"/>
  <c r="F190" i="1"/>
  <c r="AR18" i="1"/>
  <c r="F216" i="1"/>
  <c r="AS18" i="1"/>
  <c r="F205" i="1"/>
  <c r="AV18" i="1"/>
  <c r="F193" i="1"/>
  <c r="E18" i="2"/>
  <c r="AY18" i="1"/>
  <c r="F196" i="1"/>
  <c r="AZ18" i="1"/>
  <c r="F199" i="1"/>
  <c r="AW18" i="1"/>
  <c r="F194" i="1"/>
  <c r="AT22" i="1"/>
  <c r="AT188" i="1"/>
  <c r="F176" i="1"/>
  <c r="F16" i="2" s="1"/>
  <c r="F18" i="2" s="1"/>
  <c r="I16" i="2" l="1"/>
  <c r="I18" i="2" s="1"/>
  <c r="AT18" i="1"/>
  <c r="F206" i="1"/>
</calcChain>
</file>

<file path=xl/sharedStrings.xml><?xml version="1.0" encoding="utf-8"?>
<sst xmlns="http://schemas.openxmlformats.org/spreadsheetml/2006/main" count="1934" uniqueCount="269">
  <si>
    <t>Smeta.RU  (495) 974-1589</t>
  </si>
  <si>
    <t>_PS_</t>
  </si>
  <si>
    <t>Smeta.RU</t>
  </si>
  <si>
    <t>АО "ИнжЭнергоПроект"  Доп. раб. место  FStS-0037067</t>
  </si>
  <si>
    <t/>
  </si>
  <si>
    <t>02-03-01 АИИС КУЭ</t>
  </si>
  <si>
    <t>Голубева Т.Н.</t>
  </si>
  <si>
    <t>Николаева В.Г.</t>
  </si>
  <si>
    <t>Сметные нормы списания</t>
  </si>
  <si>
    <t>Коды ОКП для ТСН-2001 МГЭ</t>
  </si>
  <si>
    <t>Типовой расчет для ТСН-2001 МГЭ, Новая методика с выпуска доп. 43 (Строительство), Доп 60</t>
  </si>
  <si>
    <t>Территориальные сметные нормативы для Москвы ТСН-2001 (МГЭ)</t>
  </si>
  <si>
    <t>Поправки для ТСН-2001 от 26.04.2021 г. доп.60</t>
  </si>
  <si>
    <t>02-03-01</t>
  </si>
  <si>
    <t>АИИС КУЭ</t>
  </si>
  <si>
    <t>АУВП.411711-10266-КС-18-I-ИОС7.7.2.СО</t>
  </si>
  <si>
    <t>1</t>
  </si>
  <si>
    <t>Монтажные работы и материалы</t>
  </si>
  <si>
    <t>4.11-17-1</t>
  </si>
  <si>
    <t>Щиты и пульты массой до 50 кг (ШУ-2, шкафы связи 1(2))  (ШУ-1.1, ШУ-1.2, УСПД)</t>
  </si>
  <si>
    <t>1  ШТ.</t>
  </si>
  <si>
    <t>ТСН-2001.4. Доп. 1-42. Сб. 11, т. 17, поз. 1</t>
  </si>
  <si>
    <t>)*1,2)*1,15</t>
  </si>
  <si>
    <t>Монтаж оборудования</t>
  </si>
  <si>
    <t>ТСН-2001.4-11. 11-1...11-30</t>
  </si>
  <si>
    <t>ТСН-2001.4-11-1</t>
  </si>
  <si>
    <t>Поправка: ТСН-2001.4. О.П. тб1. п.1  Поправка: ТСН-2001.4. О.П. тб1. п.2</t>
  </si>
  <si>
    <t>2</t>
  </si>
  <si>
    <t>4.8-34-1</t>
  </si>
  <si>
    <t>Трансформаторы тока, трансформатор, напряжение до 10 кВ</t>
  </si>
  <si>
    <t>ТСН-2001.4. Доп. 1-42. Сб. 8, т. 34, поз. 1</t>
  </si>
  <si>
    <t>ТСН-2001.4-8. 8-28...8-72</t>
  </si>
  <si>
    <t>ТСН-2001.4-8-2</t>
  </si>
  <si>
    <t>3</t>
  </si>
  <si>
    <t>4.10-82-3</t>
  </si>
  <si>
    <t>Приборы и устройства сигнализарующие объектовые, устройства ультразвуковые, блок питания и контроля</t>
  </si>
  <si>
    <t>ТСН-2001.4. Доп. 1-42. Сб. 10, т. 82, поз. 3</t>
  </si>
  <si>
    <t>ТСН-2001.4-10. 10-1...10-91</t>
  </si>
  <si>
    <t>ТСН-2001.4-10-1</t>
  </si>
  <si>
    <t>4</t>
  </si>
  <si>
    <t>4.11-12-1</t>
  </si>
  <si>
    <t>Съемные и выдвижные блоки (модули, ячейки, ТЭЗ), массой до 0,005 т</t>
  </si>
  <si>
    <t>ТСН-2001.4. Доп. 1-42. Сб. 11, т. 12, поз. 1</t>
  </si>
  <si>
    <t>5</t>
  </si>
  <si>
    <t>4.8-281-1</t>
  </si>
  <si>
    <t>Трубы гофрированные поливинилхлоридные, прокладываемые в труднодоступных местах с усиленным креплением накладными скобами и установкой соединительных коробок, по железобетонным стенам и потолкам, диаметром до 16 мм</t>
  </si>
  <si>
    <t>100 м</t>
  </si>
  <si>
    <t>ТСН-2001.4. Доп. 1-42. Сб. 8, т. 281, поз. 1</t>
  </si>
  <si>
    <t>ТСН-2001.4-8. 8-280, 8-281</t>
  </si>
  <si>
    <t>ТСН-2001.4-8-20</t>
  </si>
  <si>
    <t>5,1</t>
  </si>
  <si>
    <t>1.12-5-41</t>
  </si>
  <si>
    <t>Трубы поливинилхлоридные для электропроводок, гладкие, усиленного типа из отходов ПВХ, наружный диаметр 16 мм, толщина стенки 1,2 мм</t>
  </si>
  <si>
    <t>м</t>
  </si>
  <si>
    <t>ТСН-2001.1. Доп. 1-42. Р. 12, о. 5, поз. 41</t>
  </si>
  <si>
    <t>6</t>
  </si>
  <si>
    <t>4.8-175-3</t>
  </si>
  <si>
    <t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 до 16 мм2</t>
  </si>
  <si>
    <t>ТСН-2001.4. Доп. 1-42. Сб. 8, т. 175, поз. 3</t>
  </si>
  <si>
    <t>ТСН-2001.4-8. 8-155...8-184</t>
  </si>
  <si>
    <t>ТСН-2001.4-8-16</t>
  </si>
  <si>
    <t>7</t>
  </si>
  <si>
    <t>1.23-1-287</t>
  </si>
  <si>
    <t>Кабели контрольные с медными жилами экранированные, марка КВВГЭнг(А), число жил и сечение 5х2,5 мм2</t>
  </si>
  <si>
    <t>км</t>
  </si>
  <si>
    <t>ТСН-2001.1 Доп. 46, Р. 23, о. 1, поз. 287</t>
  </si>
  <si>
    <t>Материалы монтажные</t>
  </si>
  <si>
    <t>ТСН-2001.1 Материалы монтажные</t>
  </si>
  <si>
    <t>ТСН-2001.1-2</t>
  </si>
  <si>
    <t>8</t>
  </si>
  <si>
    <t>1.23-9-92</t>
  </si>
  <si>
    <t>Кабели симметричные, парной скрутки, с изоляцией из сплошного полиэтилена, с общим экраном, в оболочке из ПВХ пластиката пониженной пожароопасности, с низким дымо- и газовыделением, марка КИПЭВнг(А)-LS, число пар и сечение жилы 2х2х0,6 мм2</t>
  </si>
  <si>
    <t>ТСН-2001.1. Доп. 1-42. Р. 23, о. 9, поз. 92</t>
  </si>
  <si>
    <t>9</t>
  </si>
  <si>
    <t>1.21-5-926</t>
  </si>
  <si>
    <t>Хомуты (стяжки) кабельные из полиамида, размеры 3,6х200 мм</t>
  </si>
  <si>
    <t>100 шт.</t>
  </si>
  <si>
    <t>ТСН-2001.1. Доп. 1-42. Р. 21, о. 5, поз. 926</t>
  </si>
  <si>
    <t>10</t>
  </si>
  <si>
    <t>4.8-187-10</t>
  </si>
  <si>
    <t>Проводник заземляющий из медного изолированного провода сечением 25 мм2 открыто по строительным основаниям</t>
  </si>
  <si>
    <t>ТСН-2001.4. Доп. 1-42. Сб. 8, т. 187, поз. 10</t>
  </si>
  <si>
    <t>ТСН-2001.4-8. 8-185...8-187</t>
  </si>
  <si>
    <t>ТСН-2001.4-8-17</t>
  </si>
  <si>
    <t>11</t>
  </si>
  <si>
    <t>1.23-13-202</t>
  </si>
  <si>
    <t>Провода силовые с медными жилами в поливинилхлоридной изоляции, повышенной гибкости, напряжение до 450/750 В, марка ПуГВ, число и сечение жил 1х6 мм2</t>
  </si>
  <si>
    <t>ТСН-2001.1. Доп. 1-42. Р. 23, о. 13, поз. 202</t>
  </si>
  <si>
    <t>12</t>
  </si>
  <si>
    <t>1.21-5-737</t>
  </si>
  <si>
    <t>Наконечники кабельные медные под опрессовку луженые, тип 16-6-6-М УХЛ3</t>
  </si>
  <si>
    <t>шт.</t>
  </si>
  <si>
    <t>ТСН-2001.1. Доп. 1-42. Р. 21, о. 5, поз. 737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</si>
  <si>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</si>
  <si>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</si>
  <si>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</si>
  <si>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</si>
  <si>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</si>
  <si>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</si>
  <si>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</si>
  <si>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</si>
  <si>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</si>
  <si>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</si>
  <si>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</si>
  <si>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</si>
  <si>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</si>
  <si>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</si>
  <si>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</si>
  <si>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</si>
  <si>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</si>
  <si>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</si>
  <si>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</si>
  <si>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</si>
  <si>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</si>
  <si>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</si>
  <si>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</si>
  <si>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</si>
  <si>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</si>
  <si>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</si>
  <si>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</si>
  <si>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</si>
  <si>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</si>
  <si>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</si>
  <si>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</si>
  <si>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</si>
  <si>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</si>
  <si>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</si>
  <si>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</si>
  <si>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</si>
  <si>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</si>
  <si>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</si>
  <si>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</si>
  <si>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</si>
  <si>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</si>
  <si>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</si>
  <si>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</si>
  <si>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</si>
  <si>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</si>
  <si>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</si>
  <si>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</si>
  <si>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</si>
  <si>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</si>
  <si>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</si>
  <si>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</si>
  <si>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</si>
  <si>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</si>
  <si>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</si>
  <si>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Оборудование</t>
  </si>
  <si>
    <t>13</t>
  </si>
  <si>
    <t>Шкаф учета (0,4 кВ) ШУ1 в составе:</t>
  </si>
  <si>
    <t>Материалы</t>
  </si>
  <si>
    <t>Материалы, изделия и конструкции</t>
  </si>
  <si>
    <t>14</t>
  </si>
  <si>
    <t>Прайс</t>
  </si>
  <si>
    <t>Многофункциональный микропроцессорный счетчик электрической энергии, кл. точн. 0,5S/1,0, 3х230/400 В, 5 (10) А Меркурий 234 ARTM(X)2-03 (D)PBR.R</t>
  </si>
  <si>
    <t>ШТ</t>
  </si>
  <si>
    <t>Сметная стоимость оборудования</t>
  </si>
  <si>
    <t>ТСН-2001.13-1.</t>
  </si>
  <si>
    <t>ТСН-2001.13-1-1</t>
  </si>
  <si>
    <t>[14 665 / 1,2 /  4,77] +  3% Трансп +  1,2% Заг.скл</t>
  </si>
  <si>
    <t>15</t>
  </si>
  <si>
    <t>Пломбируемая испытательная клеммная коробка ЛИМГ301591.009</t>
  </si>
  <si>
    <t>[655,5 / 1,2 /  4,77] +  3% Трансп +  1,2% Заг.скл</t>
  </si>
  <si>
    <t>16</t>
  </si>
  <si>
    <t>Разветвительная коробка интерфейса RS-485 ПР-3</t>
  </si>
  <si>
    <t>[518,1 / 1,2 /  4,77] +  3% Трансп +  1,2% Заг.скл</t>
  </si>
  <si>
    <t>17</t>
  </si>
  <si>
    <t>Шкаф учета (0,4 кВ) ШУ2 в составе:</t>
  </si>
  <si>
    <t>18</t>
  </si>
  <si>
    <t>19</t>
  </si>
  <si>
    <t>20</t>
  </si>
  <si>
    <t>Трансформатор тока измерительный, кл. точн. 0,5S, Ктт 2000/5 А, ном. мощн. 5 ВА  Т-0,66 У1</t>
  </si>
  <si>
    <t>[2 111,89 / 1,2 /  4,77] +  3% Трансп +  1,2% Заг.скл</t>
  </si>
  <si>
    <t>21</t>
  </si>
  <si>
    <t>Интеллектуальный контроллер сбора и передачи данных SM160-02M</t>
  </si>
  <si>
    <t>[111 650 / 1,2 /  4,77] +  3% Трансп +  1,2% Заг.скл</t>
  </si>
  <si>
    <t>22</t>
  </si>
  <si>
    <t>Устройство синхронизации системного времени УСВ-2-02</t>
  </si>
  <si>
    <t>[102 300 / 1,2 /  4,77] +  3% Трансп +  1,2% Заг.скл</t>
  </si>
  <si>
    <t>23</t>
  </si>
  <si>
    <t>Антенна ГЛОНАСС/GPS с кабелем 50 м</t>
  </si>
  <si>
    <t>[41 400 / 1,2 /  4,77] +  3% Трансп +  1,2% Заг.скл</t>
  </si>
  <si>
    <t>24</t>
  </si>
  <si>
    <t>ПО "Пирамида 2.0 Пром Сервер" ПС-Б</t>
  </si>
  <si>
    <t>[120 000 /  4,77]</t>
  </si>
  <si>
    <t>25</t>
  </si>
  <si>
    <t>ПО "Пирамида 2.0 Пром Расширение ТУ электроэнергии" ПРЛ-1/2</t>
  </si>
  <si>
    <t>[20 /  4,77]</t>
  </si>
  <si>
    <t>26</t>
  </si>
  <si>
    <t>ПО "Пирамида 2.0 Пром АРМ Администратора" ПРЛ-2/1</t>
  </si>
  <si>
    <t>[25 000 /  4,77]</t>
  </si>
  <si>
    <t>27</t>
  </si>
  <si>
    <t>ПО "Пирамида 2.0 Пром Субъект ОРЭ" ПРИ-5</t>
  </si>
  <si>
    <t>[50 000 /  4,77]</t>
  </si>
  <si>
    <t>Резерв</t>
  </si>
  <si>
    <t>Инд_исп.Сводный</t>
  </si>
  <si>
    <t>Используется Индекс "по сводному"</t>
  </si>
  <si>
    <t>Уровень цен</t>
  </si>
  <si>
    <t>Сборник индексов</t>
  </si>
  <si>
    <t>Коэффициенты к ТСН-2001 МГЭ</t>
  </si>
  <si>
    <t>176</t>
  </si>
  <si>
    <t>_OBSM_</t>
  </si>
  <si>
    <t>9999990008</t>
  </si>
  <si>
    <t>Трудозатраты рабочих</t>
  </si>
  <si>
    <t>чел.-ч.</t>
  </si>
  <si>
    <t>2248200000</t>
  </si>
  <si>
    <t>Трубы поливинилхлоридные</t>
  </si>
  <si>
    <t>3434200000</t>
  </si>
  <si>
    <t>Коробки</t>
  </si>
  <si>
    <t>Поправка: ТСН-2001.4. О.П. тб1. п.1  Наименование: На действующих предприятиях (в цехах на производственных площадях) в стесненных условиях: с наличием в зоне производства работ действующего технологического оборудования (станков, установок, печей, кранов, конвейеров и т.п.) или запыленности воздуха, или движения технологического транспорта по внутрицеховым и внутризаводским путям  Поправка: ТСН-2001.4. О.П. тб1. п.2  Наименование: На предприятиях (в цехах на производственных площадях), остановленных для производства строительно-монтажных работ, а также в зданиях и сооружениях всех назначений при наличии в зоне производства работ загромоаждающих помещение предметов (станков, установок, аппаратов, эксплуатационного и лабораторного оборудования, оргтехники, мебели и т.п.)</t>
  </si>
  <si>
    <t>(наименование стройки и/или объекта)</t>
  </si>
  <si>
    <t>(наименование работ и затрат)</t>
  </si>
  <si>
    <t>В базисном уровне цен</t>
  </si>
  <si>
    <t>В текущем уровне цен</t>
  </si>
  <si>
    <t>Сметная стоимость</t>
  </si>
  <si>
    <t>Строительные работы</t>
  </si>
  <si>
    <t>Работы по монтажу оборудования</t>
  </si>
  <si>
    <t>Прочие работы и затраты</t>
  </si>
  <si>
    <t>Средства на оплату труда</t>
  </si>
  <si>
    <t>Затраты труда</t>
  </si>
  <si>
    <t xml:space="preserve">Кроме того: 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</si>
  <si>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</si>
  <si>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</si>
  <si>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</si>
  <si>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</si>
  <si>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</si>
  <si>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изм., руб.</t>
  </si>
  <si>
    <t>Попра-вочные коэффи-
циенты</t>
  </si>
  <si>
    <t>Коэффи-циенты зимних удорожа-ний</t>
  </si>
  <si>
    <t>Всего затрат в базисном уровне цен, руб.</t>
  </si>
  <si>
    <t>Коэффици-енты (индексы) пересчета, нормы НР и СП</t>
  </si>
  <si>
    <t>ВСЕГО затрат в текущем уровне цен, руб.</t>
  </si>
  <si>
    <t>Форма № 4б</t>
  </si>
  <si>
    <t>Составлен(а) по ТСН-2001 с учетом Дополнения №: 60</t>
  </si>
  <si>
    <t>№ и период сборника коэффициентов (индексов) пересчета: Коэффициенты к ТСН-2001 МГЭ №176 май 2021 года</t>
  </si>
  <si>
    <t>ЗП</t>
  </si>
  <si>
    <t>ЭМ</t>
  </si>
  <si>
    <t>в т.ч. ЗПМ</t>
  </si>
  <si>
    <t>МР</t>
  </si>
  <si>
    <t>НР от ЗП</t>
  </si>
  <si>
    <t>%</t>
  </si>
  <si>
    <t>СП от ЗП</t>
  </si>
  <si>
    <t>НР и СП от ЗПМ</t>
  </si>
  <si>
    <t>ЗТР</t>
  </si>
  <si>
    <t>чел-ч</t>
  </si>
  <si>
    <t>Всего по позиции:</t>
  </si>
  <si>
    <t xml:space="preserve">   Итого по ТСН-2001.16</t>
  </si>
  <si>
    <t xml:space="preserve">   Итого возвратных сумм</t>
  </si>
  <si>
    <r>
      <t>Многофункциональный микропроцессорный счетчик электрической энергии, кл. точн. 0,5S/1,0, 3х230/400 В, 5 (10) А Меркурий 234 ARTM(X)2-03 (D)PBR.R</t>
    </r>
    <r>
      <rPr>
        <i/>
        <sz val="10"/>
        <rFont val="Arial"/>
        <family val="2"/>
        <charset val="204"/>
      </rPr>
      <t xml:space="preserve">
Базисная стоимость: 2 670,55 = [14 665 / 1,2 /  4,77] +  3% Трансп +  1,2% Заг.скл</t>
    </r>
  </si>
  <si>
    <r>
      <t>Пломбируемая испытательная клеммная коробка ЛИМГ301591.009</t>
    </r>
    <r>
      <rPr>
        <i/>
        <sz val="10"/>
        <rFont val="Arial"/>
        <family val="2"/>
        <charset val="204"/>
      </rPr>
      <t xml:space="preserve">
Базисная стоимость: 119,38 = [655,5 / 1,2 /  4,77] +  3% Трансп +  1,2% Заг.скл</t>
    </r>
  </si>
  <si>
    <r>
      <t>Разветвительная коробка интерфейса RS-485 ПР-3</t>
    </r>
    <r>
      <rPr>
        <i/>
        <sz val="10"/>
        <rFont val="Arial"/>
        <family val="2"/>
        <charset val="204"/>
      </rPr>
      <t xml:space="preserve">
Базисная стоимость: 94,35 = [518,1 / 1,2 /  4,77] +  3% Трансп +  1,2% Заг.скл</t>
    </r>
  </si>
  <si>
    <r>
      <t>Трансформатор тока измерительный, кл. точн. 0,5S, Ктт 2000/5 А, ном. мощн. 5 ВА  Т-0,66 У1</t>
    </r>
    <r>
      <rPr>
        <i/>
        <sz val="10"/>
        <rFont val="Arial"/>
        <family val="2"/>
        <charset val="204"/>
      </rPr>
      <t xml:space="preserve">
Базисная стоимость: 384,58 = [2 111,89 / 1,2 /  4,77] +  3% Трансп +  1,2% Заг.скл</t>
    </r>
  </si>
  <si>
    <r>
      <t>Интеллектуальный контроллер сбора и передачи данных SM160-02M</t>
    </r>
    <r>
      <rPr>
        <i/>
        <sz val="10"/>
        <rFont val="Arial"/>
        <family val="2"/>
        <charset val="204"/>
      </rPr>
      <t xml:space="preserve">
Базисная стоимость: 20 331,85 = [111 650 / 1,2 /  4,77] +  3% Трансп +  1,2% Заг.скл</t>
    </r>
  </si>
  <si>
    <r>
      <t>Устройство синхронизации системного времени УСВ-2-02</t>
    </r>
    <r>
      <rPr>
        <i/>
        <sz val="10"/>
        <rFont val="Arial"/>
        <family val="2"/>
        <charset val="204"/>
      </rPr>
      <t xml:space="preserve">
Базисная стоимость: 18 629,18 = [102 300 / 1,2 /  4,77] +  3% Трансп +  1,2% Заг.скл</t>
    </r>
  </si>
  <si>
    <r>
      <t>Антенна ГЛОНАСС/GPS с кабелем 50 м</t>
    </r>
    <r>
      <rPr>
        <i/>
        <sz val="10"/>
        <rFont val="Arial"/>
        <family val="2"/>
        <charset val="204"/>
      </rPr>
      <t xml:space="preserve">
Базисная стоимость: 7 539,08 = [41 400 / 1,2 /  4,77] +  3% Трансп +  1,2% Заг.скл</t>
    </r>
  </si>
  <si>
    <r>
      <t>ПО "Пирамида 2.0 Пром Сервер" ПС-Б</t>
    </r>
    <r>
      <rPr>
        <i/>
        <sz val="10"/>
        <rFont val="Arial"/>
        <family val="2"/>
        <charset val="204"/>
      </rPr>
      <t xml:space="preserve">
Базисная стоимость: 25 157,23 = [120 000 /  4,77]</t>
    </r>
  </si>
  <si>
    <r>
      <t>ПО "Пирамида 2.0 Пром Расширение ТУ электроэнергии" ПРЛ-1/2</t>
    </r>
    <r>
      <rPr>
        <i/>
        <sz val="10"/>
        <rFont val="Arial"/>
        <family val="2"/>
        <charset val="204"/>
      </rPr>
      <t xml:space="preserve">
Базисная стоимость: 4,19 = [20 /  4,77]</t>
    </r>
  </si>
  <si>
    <r>
      <t>ПО "Пирамида 2.0 Пром АРМ Администратора" ПРЛ-2/1</t>
    </r>
    <r>
      <rPr>
        <i/>
        <sz val="10"/>
        <rFont val="Arial"/>
        <family val="2"/>
        <charset val="204"/>
      </rPr>
      <t xml:space="preserve">
Базисная стоимость: 5 241,09 = [25 000 /  4,77]</t>
    </r>
  </si>
  <si>
    <r>
      <t>ПО "Пирамида 2.0 Пром Субъект ОРЭ" ПРИ-5</t>
    </r>
    <r>
      <rPr>
        <i/>
        <sz val="10"/>
        <rFont val="Arial"/>
        <family val="2"/>
        <charset val="204"/>
      </rPr>
      <t xml:space="preserve">
Базисная стоимость: 10 482,18 = [50 000 /  4,77]</t>
    </r>
  </si>
  <si>
    <t xml:space="preserve">  тыс.руб</t>
  </si>
  <si>
    <t xml:space="preserve">Составил   </t>
  </si>
  <si>
    <t>(должность, подпись, инициалы, фамилия)</t>
  </si>
  <si>
    <t xml:space="preserve">Проверил   </t>
  </si>
  <si>
    <t>Бывший ЦСОД Яндекса</t>
  </si>
  <si>
    <t>Щиты и пульты массой до 50 кг (ШУ-2, шкафы связи 1(2))  (ШУ-1.1, ШУ-1.2)</t>
  </si>
  <si>
    <t>Временные здания и сооружения- 1,5% от СМР</t>
  </si>
  <si>
    <t>Итого без НДС</t>
  </si>
  <si>
    <t>НДС 20%</t>
  </si>
  <si>
    <t>Итого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</si>
</sst>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\ #,##0.00"/>
    <numFmt numFmtId="165" formatCode="#,##0.00####;[Red]\-\ #,##0.00####"/>
    <numFmt numFmtId="166" formatCode="#,##0.00############;[Red]\-\ #,##0.00############"/>
    <numFmt numFmtId="167" formatCode="#,##0.00_ ;[Red]\-#,##0.00\ "/>
  </numFmts>
  <fonts count="19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164" fontId="15" fillId="0" borderId="0" xfId="0" applyNumberFormat="1" applyFont="1"/>
    <xf numFmtId="0" fontId="15" fillId="0" borderId="0" xfId="0" applyFont="1"/>
    <xf numFmtId="164" fontId="11" fillId="0" borderId="0" xfId="0" applyNumberFormat="1" applyFont="1"/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0" fillId="0" borderId="0" xfId="0" applyNumberFormat="1"/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164" fontId="11" fillId="0" borderId="5" xfId="0" applyNumberFormat="1" applyFont="1" applyBorder="1" applyAlignment="1">
      <alignment horizontal="right"/>
    </xf>
    <xf numFmtId="0" fontId="0" fillId="0" borderId="6" xfId="0" applyBorder="1"/>
    <xf numFmtId="0" fontId="15" fillId="0" borderId="6" xfId="0" applyFont="1" applyBorder="1"/>
    <xf numFmtId="0" fontId="9" fillId="0" borderId="0" xfId="0" applyFont="1" applyAlignment="1">
      <alignment wrapText="1"/>
    </xf>
    <xf numFmtId="0" fontId="11" fillId="0" borderId="0" xfId="0" quotePrefix="1" applyFont="1" applyAlignment="1">
      <alignment horizontal="right" wrapText="1"/>
    </xf>
    <xf numFmtId="0" fontId="0" fillId="0" borderId="5" xfId="0" applyBorder="1"/>
    <xf numFmtId="0" fontId="9" fillId="0" borderId="5" xfId="0" applyFont="1" applyBorder="1" applyAlignment="1">
      <alignment wrapText="1"/>
    </xf>
    <xf numFmtId="0" fontId="17" fillId="0" borderId="0" xfId="0" applyFont="1" applyAlignment="1">
      <alignment wrapText="1"/>
    </xf>
    <xf numFmtId="0" fontId="11" fillId="0" borderId="1" xfId="0" applyFont="1" applyBorder="1"/>
    <xf numFmtId="0" fontId="11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6" fillId="0" borderId="0" xfId="0" applyFont="1" applyAlignment="1">
      <alignment horizontal="center" wrapText="1"/>
    </xf>
    <xf numFmtId="164" fontId="15" fillId="0" borderId="6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1" fillId="0" borderId="1" xfId="0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/>
    <xf numFmtId="0" fontId="12" fillId="0" borderId="5" xfId="0" applyFont="1" applyBorder="1" applyAlignment="1">
      <alignment horizontal="center" wrapText="1"/>
    </xf>
    <xf numFmtId="4" fontId="11" fillId="0" borderId="0" xfId="0" applyNumberFormat="1" applyFont="1"/>
    <xf numFmtId="4" fontId="15" fillId="0" borderId="0" xfId="0" applyNumberFormat="1" applyFont="1"/>
    <xf numFmtId="167" fontId="11" fillId="0" borderId="0" xfId="0" applyNumberFormat="1" applyFont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11"/>
  <sheetViews>
    <sheetView tabSelected="1" zoomScaleNormal="100" workbookViewId="0">
      <selection activeCell="M203" sqref="M203"/>
    </sheetView>
  </sheetViews>
  <sheetFormatPr defaultRowHeight="13.2" x14ac:dyDescent="0.25"/>
  <cols>
    <col min="1" max="1" width="5.6640625" customWidth="1"/>
    <col min="2" max="2" width="11.6640625" customWidth="1"/>
    <col min="3" max="3" width="40.6640625" customWidth="1"/>
    <col min="4" max="6" width="11.6640625" customWidth="1"/>
    <col min="7" max="7" width="12.6640625" customWidth="1"/>
    <col min="8" max="8" width="10.6640625" customWidth="1"/>
    <col min="9" max="11" width="12.6640625" customWidth="1"/>
    <col min="15" max="36" width="0" hidden="1" customWidth="1"/>
    <col min="37" max="37" width="150.6640625" hidden="1" customWidth="1"/>
    <col min="38" max="42" width="0" hidden="1" customWidth="1"/>
  </cols>
  <sheetData>
    <row r="1" spans="1:11" x14ac:dyDescent="0.25">
      <c r="A1" s="9" t="str">
        <f>Source!B1</f>
        <v>Smeta.RU  (495) 974-1589</v>
      </c>
    </row>
    <row r="2" spans="1:11" ht="13.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 t="s">
        <v>232</v>
      </c>
    </row>
    <row r="3" spans="1:11" ht="15.6" customHeight="1" x14ac:dyDescent="0.3">
      <c r="A3" s="65" t="s">
        <v>263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x14ac:dyDescent="0.25">
      <c r="A4" s="46" t="s">
        <v>210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3.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6" x14ac:dyDescent="0.3">
      <c r="A6" s="60" t="str">
        <f>CONCATENATE( "ЛОКАЛЬНАЯ СМЕТА № 02-01-02",IF(Source!F12&lt;&gt;"Новый объект", Source!F12, ""))</f>
        <v>ЛОКАЛЬНАЯ СМЕТА № 02-01-02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13.8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7.399999999999999" x14ac:dyDescent="0.3">
      <c r="A8" s="62" t="s">
        <v>14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x14ac:dyDescent="0.25">
      <c r="A9" s="63" t="s">
        <v>211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ht="13.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3.8" x14ac:dyDescent="0.25">
      <c r="A11" s="58" t="str">
        <f>CONCATENATE( "Основание: чертежи № ", Source!J12)</f>
        <v xml:space="preserve">Основание: чертежи № 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3.8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27.6" x14ac:dyDescent="0.25">
      <c r="A13" s="10"/>
      <c r="B13" s="10"/>
      <c r="C13" s="10"/>
      <c r="D13" s="10"/>
      <c r="E13" s="10"/>
      <c r="F13" s="10"/>
      <c r="G13" s="10"/>
      <c r="H13" s="10"/>
      <c r="I13" s="12" t="s">
        <v>212</v>
      </c>
      <c r="J13" s="12" t="s">
        <v>213</v>
      </c>
      <c r="K13" s="10"/>
    </row>
    <row r="14" spans="1:11" ht="13.8" x14ac:dyDescent="0.25">
      <c r="A14" s="10"/>
      <c r="B14" s="10"/>
      <c r="C14" s="10"/>
      <c r="D14" s="10"/>
      <c r="E14" s="10"/>
      <c r="F14" s="59" t="s">
        <v>214</v>
      </c>
      <c r="G14" s="59"/>
      <c r="H14" s="59"/>
      <c r="I14" s="13">
        <f>SUM(O1:O199)/1000</f>
        <v>113.23322</v>
      </c>
      <c r="J14" s="13">
        <f>(Source!F216/1000)</f>
        <v>682.82931999999994</v>
      </c>
      <c r="K14" s="14" t="s">
        <v>259</v>
      </c>
    </row>
    <row r="15" spans="1:11" ht="13.8" x14ac:dyDescent="0.25">
      <c r="A15" s="10"/>
      <c r="B15" s="10"/>
      <c r="C15" s="10"/>
      <c r="D15" s="10"/>
      <c r="E15" s="10"/>
      <c r="F15" s="55" t="s">
        <v>215</v>
      </c>
      <c r="G15" s="55"/>
      <c r="H15" s="55"/>
      <c r="I15" s="15">
        <f>SUM(X1:X199)/1000</f>
        <v>0</v>
      </c>
      <c r="J15" s="15">
        <f>(Source!F205)/1000</f>
        <v>0</v>
      </c>
      <c r="K15" s="10" t="s">
        <v>259</v>
      </c>
    </row>
    <row r="16" spans="1:11" ht="13.8" x14ac:dyDescent="0.25">
      <c r="A16" s="10"/>
      <c r="B16" s="10"/>
      <c r="C16" s="10"/>
      <c r="D16" s="10"/>
      <c r="E16" s="10"/>
      <c r="F16" s="55" t="s">
        <v>216</v>
      </c>
      <c r="G16" s="55"/>
      <c r="H16" s="55"/>
      <c r="I16" s="15">
        <f>SUM(Y1:Y199)/1000</f>
        <v>17.862539999999999</v>
      </c>
      <c r="J16" s="15">
        <f>(Source!F206)/1000</f>
        <v>227.91119</v>
      </c>
      <c r="K16" s="10" t="s">
        <v>259</v>
      </c>
    </row>
    <row r="17" spans="1:37" ht="13.8" x14ac:dyDescent="0.25">
      <c r="A17" s="10"/>
      <c r="B17" s="10"/>
      <c r="C17" s="10"/>
      <c r="D17" s="10"/>
      <c r="E17" s="10"/>
      <c r="F17" s="55" t="s">
        <v>147</v>
      </c>
      <c r="G17" s="55"/>
      <c r="H17" s="55"/>
      <c r="I17" s="15">
        <f>SUM(Z1:Z199)/1000</f>
        <v>95.370679999999993</v>
      </c>
      <c r="J17" s="15">
        <f>(Source!F197)/1000</f>
        <v>454.91813000000002</v>
      </c>
      <c r="K17" s="10" t="s">
        <v>259</v>
      </c>
    </row>
    <row r="18" spans="1:37" ht="13.8" x14ac:dyDescent="0.25">
      <c r="A18" s="10"/>
      <c r="B18" s="10"/>
      <c r="C18" s="10"/>
      <c r="D18" s="10"/>
      <c r="E18" s="10"/>
      <c r="F18" s="55" t="s">
        <v>217</v>
      </c>
      <c r="G18" s="55"/>
      <c r="H18" s="55"/>
      <c r="I18" s="15">
        <f>SUM(AA1:AA199)/1000</f>
        <v>0</v>
      </c>
      <c r="J18" s="15">
        <f>(Source!F207+Source!F208)/1000</f>
        <v>0</v>
      </c>
      <c r="K18" s="10" t="s">
        <v>259</v>
      </c>
    </row>
    <row r="19" spans="1:37" ht="13.8" x14ac:dyDescent="0.25">
      <c r="A19" s="10"/>
      <c r="B19" s="10"/>
      <c r="C19" s="10"/>
      <c r="D19" s="10"/>
      <c r="E19" s="10"/>
      <c r="F19" s="55" t="s">
        <v>218</v>
      </c>
      <c r="G19" s="55"/>
      <c r="H19" s="55"/>
      <c r="I19" s="15">
        <f>SUM(W1:W199)/1000</f>
        <v>3.1403699999999999</v>
      </c>
      <c r="J19" s="15">
        <f>(Source!F203+ Source!F202)/1000</f>
        <v>78.917500000000004</v>
      </c>
      <c r="K19" s="10" t="s">
        <v>259</v>
      </c>
    </row>
    <row r="20" spans="1:37" ht="13.8" x14ac:dyDescent="0.25">
      <c r="A20" s="10"/>
      <c r="B20" s="10"/>
      <c r="C20" s="10"/>
      <c r="D20" s="10"/>
      <c r="E20" s="10"/>
      <c r="F20" s="55" t="s">
        <v>219</v>
      </c>
      <c r="G20" s="55"/>
      <c r="H20" s="55"/>
      <c r="I20" s="15">
        <f>SUM(AB1:AB199)</f>
        <v>236.14442423999992</v>
      </c>
      <c r="J20" s="15"/>
      <c r="K20" s="10" t="s">
        <v>204</v>
      </c>
    </row>
    <row r="21" spans="1:37" ht="13.8" hidden="1" x14ac:dyDescent="0.25">
      <c r="A21" s="10"/>
      <c r="B21" s="10"/>
      <c r="C21" s="10"/>
      <c r="D21" s="10"/>
      <c r="E21" s="10"/>
      <c r="F21" s="16" t="s">
        <v>220</v>
      </c>
      <c r="G21" s="16"/>
      <c r="H21" s="16"/>
      <c r="I21" s="15"/>
      <c r="J21" s="15"/>
      <c r="K21" s="10"/>
    </row>
    <row r="22" spans="1:37" ht="13.8" hidden="1" x14ac:dyDescent="0.25">
      <c r="A22" s="10"/>
      <c r="B22" s="10"/>
      <c r="C22" s="10"/>
      <c r="D22" s="10"/>
      <c r="E22" s="10"/>
      <c r="F22" s="56" t="s">
        <v>132</v>
      </c>
      <c r="G22" s="57"/>
      <c r="H22" s="57"/>
      <c r="I22" s="15">
        <f>SUM(AE1:AE199)/1000</f>
        <v>0</v>
      </c>
      <c r="J22" s="15">
        <f>SUM(AF1:AF199)/1000</f>
        <v>0</v>
      </c>
      <c r="K22" s="10" t="s">
        <v>259</v>
      </c>
    </row>
    <row r="23" spans="1:37" ht="13.8" x14ac:dyDescent="0.25">
      <c r="A23" s="10"/>
      <c r="B23" s="10"/>
      <c r="C23" s="10"/>
      <c r="D23" s="10"/>
      <c r="E23" s="10"/>
      <c r="F23" s="17"/>
      <c r="G23" s="17"/>
      <c r="H23" s="17"/>
      <c r="I23" s="15"/>
      <c r="J23" s="15"/>
      <c r="K23" s="10"/>
    </row>
    <row r="24" spans="1:37" ht="13.8" x14ac:dyDescent="0.25">
      <c r="A24" s="10" t="s">
        <v>233</v>
      </c>
      <c r="B24" s="10"/>
      <c r="C24" s="10"/>
      <c r="D24" s="10"/>
      <c r="E24" s="10"/>
      <c r="F24" s="17"/>
      <c r="G24" s="17"/>
      <c r="H24" s="17"/>
      <c r="I24" s="15"/>
      <c r="J24" s="15"/>
      <c r="K24" s="10"/>
    </row>
    <row r="25" spans="1:37" ht="13.8" x14ac:dyDescent="0.25">
      <c r="A25" s="58" t="s">
        <v>234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AK25" s="20" t="s">
        <v>234</v>
      </c>
    </row>
    <row r="26" spans="1:37" ht="82.8" x14ac:dyDescent="0.25">
      <c r="A26" s="18" t="s">
        <v>221</v>
      </c>
      <c r="B26" s="18" t="s">
        <v>222</v>
      </c>
      <c r="C26" s="18" t="s">
        <v>223</v>
      </c>
      <c r="D26" s="18" t="s">
        <v>224</v>
      </c>
      <c r="E26" s="18" t="s">
        <v>225</v>
      </c>
      <c r="F26" s="18" t="s">
        <v>226</v>
      </c>
      <c r="G26" s="19" t="s">
        <v>227</v>
      </c>
      <c r="H26" s="19" t="s">
        <v>228</v>
      </c>
      <c r="I26" s="18" t="s">
        <v>229</v>
      </c>
      <c r="J26" s="18" t="s">
        <v>230</v>
      </c>
      <c r="K26" s="18" t="s">
        <v>231</v>
      </c>
    </row>
    <row r="27" spans="1:37" ht="13.8" x14ac:dyDescent="0.25">
      <c r="A27" s="18">
        <v>1</v>
      </c>
      <c r="B27" s="18">
        <v>2</v>
      </c>
      <c r="C27" s="18">
        <v>3</v>
      </c>
      <c r="D27" s="18">
        <v>4</v>
      </c>
      <c r="E27" s="18">
        <v>5</v>
      </c>
      <c r="F27" s="18">
        <v>6</v>
      </c>
      <c r="G27" s="18">
        <v>7</v>
      </c>
      <c r="H27" s="18">
        <v>8</v>
      </c>
      <c r="I27" s="18">
        <v>9</v>
      </c>
      <c r="J27" s="18">
        <v>10</v>
      </c>
      <c r="K27" s="18">
        <v>11</v>
      </c>
    </row>
    <row r="29" spans="1:37" ht="16.8" x14ac:dyDescent="0.3">
      <c r="A29" s="53" t="str">
        <f>CONCATENATE("Раздел: ",IF(Source!G24&lt;&gt;"Новый раздел", Source!G24, ""))</f>
        <v>Раздел: Монтажные работы и материалы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37" ht="27.6" x14ac:dyDescent="0.3">
      <c r="A30" s="21" t="str">
        <f>Source!E28</f>
        <v>1</v>
      </c>
      <c r="B30" s="22" t="str">
        <f>Source!F28</f>
        <v>4.11-17-1</v>
      </c>
      <c r="C30" s="22" t="s">
        <v>264</v>
      </c>
      <c r="D30" s="24" t="str">
        <f>Source!H28</f>
        <v>1  ШТ.</v>
      </c>
      <c r="E30" s="23">
        <f>Source!I28</f>
        <v>2</v>
      </c>
      <c r="F30" s="26"/>
      <c r="G30" s="25"/>
      <c r="H30" s="23"/>
      <c r="I30" s="27"/>
      <c r="J30" s="23"/>
      <c r="K30" s="27"/>
      <c r="Q30">
        <f>ROUND((Source!DN28/100)*ROUND((ROUND((Source!AF28*Source!AV28*Source!I28),2)),2), 2)</f>
        <v>193.51</v>
      </c>
      <c r="R30">
        <f>Source!X28</f>
        <v>3907.76</v>
      </c>
      <c r="S30">
        <f>ROUND((Source!DO28/100)*ROUND((ROUND((Source!AF28*Source!AV28*Source!I28),2)),2), 2)</f>
        <v>120.95</v>
      </c>
      <c r="T30">
        <f>Source!Y28</f>
        <v>1780.2</v>
      </c>
      <c r="U30">
        <f>ROUND((175/100)*ROUND((ROUND((Source!AE28*Source!AV28*Source!I28),2)),2), 2)</f>
        <v>3.29</v>
      </c>
      <c r="V30">
        <f>ROUND((157/100)*ROUND(ROUND((ROUND((Source!AE28*Source!AV28*Source!I28),2)*Source!BS28),2), 2), 2)</f>
        <v>74.17</v>
      </c>
    </row>
    <row r="31" spans="1:37" ht="14.4" x14ac:dyDescent="0.3">
      <c r="A31" s="21"/>
      <c r="B31" s="22"/>
      <c r="C31" s="22" t="s">
        <v>235</v>
      </c>
      <c r="D31" s="24"/>
      <c r="E31" s="23"/>
      <c r="F31" s="26">
        <f>Source!AO28</f>
        <v>59.79</v>
      </c>
      <c r="G31" s="25" t="str">
        <f>Source!DG28</f>
        <v>)*1,2)*1,15</v>
      </c>
      <c r="H31" s="23">
        <f>Source!AV28</f>
        <v>1.0469999999999999</v>
      </c>
      <c r="I31" s="27">
        <f>ROUND((ROUND((Source!AF28*Source!AV28*Source!I28),2)),2)</f>
        <v>172.78</v>
      </c>
      <c r="J31" s="23">
        <f>IF(Source!BA28&lt;&gt; 0, Source!BA28, 1)</f>
        <v>25.13</v>
      </c>
      <c r="K31" s="27">
        <f>Source!S28</f>
        <v>4341.96</v>
      </c>
      <c r="W31">
        <f>I31</f>
        <v>172.78</v>
      </c>
    </row>
    <row r="32" spans="1:37" ht="14.4" x14ac:dyDescent="0.3">
      <c r="A32" s="21"/>
      <c r="B32" s="22"/>
      <c r="C32" s="22" t="s">
        <v>236</v>
      </c>
      <c r="D32" s="24"/>
      <c r="E32" s="23"/>
      <c r="F32" s="26">
        <f>Source!AM28</f>
        <v>4.42</v>
      </c>
      <c r="G32" s="25" t="str">
        <f>Source!DE28</f>
        <v>)*1,2)*1,15</v>
      </c>
      <c r="H32" s="23">
        <f>Source!AV28</f>
        <v>1.0469999999999999</v>
      </c>
      <c r="I32" s="27">
        <f>(ROUND((ROUND(((((Source!ET28*1.2)*1.15))*Source!AV28*Source!I28),2)),2)+ROUND((ROUND(((Source!AE28-(((Source!EU28*1.2)*1.15)))*Source!AV28*Source!I28),2)),2))</f>
        <v>12.77</v>
      </c>
      <c r="J32" s="23">
        <f>IF(Source!BB28&lt;&gt; 0, Source!BB28, 1)</f>
        <v>8.6300000000000008</v>
      </c>
      <c r="K32" s="27">
        <f>Source!Q28</f>
        <v>110.21</v>
      </c>
    </row>
    <row r="33" spans="1:28" ht="14.4" x14ac:dyDescent="0.3">
      <c r="A33" s="21"/>
      <c r="B33" s="22"/>
      <c r="C33" s="22" t="s">
        <v>237</v>
      </c>
      <c r="D33" s="24"/>
      <c r="E33" s="23"/>
      <c r="F33" s="26">
        <f>Source!AN28</f>
        <v>0.65</v>
      </c>
      <c r="G33" s="25" t="str">
        <f>Source!DF28</f>
        <v>)*1,2)*1,15</v>
      </c>
      <c r="H33" s="23">
        <f>Source!AV28</f>
        <v>1.0469999999999999</v>
      </c>
      <c r="I33" s="28">
        <f>ROUND((ROUND((Source!AE28*Source!AV28*Source!I28),2)),2)</f>
        <v>1.88</v>
      </c>
      <c r="J33" s="23">
        <f>IF(Source!BS28&lt;&gt; 0, Source!BS28, 1)</f>
        <v>25.13</v>
      </c>
      <c r="K33" s="28">
        <f>Source!R28</f>
        <v>47.24</v>
      </c>
      <c r="W33">
        <f>I33</f>
        <v>1.88</v>
      </c>
    </row>
    <row r="34" spans="1:28" ht="14.4" x14ac:dyDescent="0.3">
      <c r="A34" s="21"/>
      <c r="B34" s="22"/>
      <c r="C34" s="22" t="s">
        <v>238</v>
      </c>
      <c r="D34" s="24"/>
      <c r="E34" s="23"/>
      <c r="F34" s="26">
        <f>Source!AL28</f>
        <v>21.42</v>
      </c>
      <c r="G34" s="25" t="str">
        <f>Source!DD28</f>
        <v/>
      </c>
      <c r="H34" s="23">
        <f>Source!AW28</f>
        <v>1</v>
      </c>
      <c r="I34" s="27">
        <f>ROUND((ROUND((Source!AC28*Source!AW28*Source!I28),2)),2)</f>
        <v>42.84</v>
      </c>
      <c r="J34" s="23">
        <f>IF(Source!BC28&lt;&gt; 0, Source!BC28, 1)</f>
        <v>6.17</v>
      </c>
      <c r="K34" s="27">
        <f>Source!P28</f>
        <v>264.32</v>
      </c>
    </row>
    <row r="35" spans="1:28" ht="14.4" x14ac:dyDescent="0.3">
      <c r="A35" s="21"/>
      <c r="B35" s="22"/>
      <c r="C35" s="22" t="s">
        <v>239</v>
      </c>
      <c r="D35" s="24" t="s">
        <v>240</v>
      </c>
      <c r="E35" s="23">
        <f>Source!DN28</f>
        <v>112</v>
      </c>
      <c r="F35" s="26"/>
      <c r="G35" s="25"/>
      <c r="H35" s="23"/>
      <c r="I35" s="27">
        <f>SUM(Q30:Q34)</f>
        <v>193.51</v>
      </c>
      <c r="J35" s="23">
        <f>Source!BZ28</f>
        <v>90</v>
      </c>
      <c r="K35" s="27">
        <f>SUM(R30:R34)</f>
        <v>3907.76</v>
      </c>
    </row>
    <row r="36" spans="1:28" ht="14.4" x14ac:dyDescent="0.3">
      <c r="A36" s="21"/>
      <c r="B36" s="22"/>
      <c r="C36" s="22" t="s">
        <v>241</v>
      </c>
      <c r="D36" s="24" t="s">
        <v>240</v>
      </c>
      <c r="E36" s="23">
        <f>Source!DO28</f>
        <v>70</v>
      </c>
      <c r="F36" s="26"/>
      <c r="G36" s="25"/>
      <c r="H36" s="23"/>
      <c r="I36" s="27">
        <f>SUM(S30:S35)</f>
        <v>120.95</v>
      </c>
      <c r="J36" s="23">
        <f>Source!CA28</f>
        <v>41</v>
      </c>
      <c r="K36" s="27">
        <f>SUM(T30:T35)</f>
        <v>1780.2</v>
      </c>
    </row>
    <row r="37" spans="1:28" ht="14.25" x14ac:dyDescent="0.2">
      <c r="A37" s="21"/>
      <c r="B37" s="22"/>
      <c r="C37" s="22" t="s">
        <v>242</v>
      </c>
      <c r="D37" s="24" t="s">
        <v>240</v>
      </c>
      <c r="E37" s="23">
        <f>175</f>
        <v>175</v>
      </c>
      <c r="F37" s="26"/>
      <c r="G37" s="25"/>
      <c r="H37" s="23"/>
      <c r="I37" s="27">
        <f>SUM(U30:U36)</f>
        <v>3.29</v>
      </c>
      <c r="J37" s="23">
        <f>157</f>
        <v>157</v>
      </c>
      <c r="K37" s="27">
        <f>SUM(V30:V36)</f>
        <v>74.17</v>
      </c>
    </row>
    <row r="38" spans="1:28" ht="14.25" x14ac:dyDescent="0.2">
      <c r="A38" s="30"/>
      <c r="B38" s="31"/>
      <c r="C38" s="31" t="s">
        <v>243</v>
      </c>
      <c r="D38" s="32" t="s">
        <v>244</v>
      </c>
      <c r="E38" s="33">
        <f>Source!AQ28</f>
        <v>5.15</v>
      </c>
      <c r="F38" s="34"/>
      <c r="G38" s="35" t="str">
        <f>Source!DI28</f>
        <v>)*1,2)*1,15</v>
      </c>
      <c r="H38" s="33">
        <f>Source!AV28</f>
        <v>1.0469999999999999</v>
      </c>
      <c r="I38" s="36">
        <f>Source!U28</f>
        <v>14.882057999999999</v>
      </c>
      <c r="J38" s="33"/>
      <c r="K38" s="36"/>
      <c r="AB38" s="29">
        <f>I38</f>
        <v>14.882057999999999</v>
      </c>
    </row>
    <row r="39" spans="1:28" ht="13.8" x14ac:dyDescent="0.25">
      <c r="A39" s="37"/>
      <c r="B39" s="37"/>
      <c r="C39" s="38" t="s">
        <v>245</v>
      </c>
      <c r="D39" s="37"/>
      <c r="E39" s="37"/>
      <c r="F39" s="37"/>
      <c r="G39" s="37"/>
      <c r="H39" s="54">
        <f>I31+I32+I34+I35+I36+I37</f>
        <v>546.14</v>
      </c>
      <c r="I39" s="54"/>
      <c r="J39" s="54">
        <f>K31+K32+K34+K35+K36+K37</f>
        <v>10478.620000000001</v>
      </c>
      <c r="K39" s="54"/>
      <c r="O39" s="29">
        <f>I31+I32+I34+I35+I36+I37</f>
        <v>546.14</v>
      </c>
      <c r="P39" s="29">
        <f>K31+K32+K34+K35+K36+K37</f>
        <v>10478.620000000001</v>
      </c>
      <c r="X39">
        <f>IF(Source!BI28&lt;=1,I31+I32+I34+I35+I36+I37-0, 0)</f>
        <v>0</v>
      </c>
      <c r="Y39">
        <f>IF(Source!BI28=2,I31+I32+I34+I35+I36+I37-0, 0)</f>
        <v>546.14</v>
      </c>
      <c r="Z39">
        <f>IF(Source!BI28=3,I31+I32+I34+I35+I36+I37-0, 0)</f>
        <v>0</v>
      </c>
      <c r="AA39">
        <f>IF(Source!BI28=4,I31+I32+I34+I35+I36+I37,0)</f>
        <v>0</v>
      </c>
    </row>
    <row r="41" spans="1:28" ht="27.6" x14ac:dyDescent="0.3">
      <c r="A41" s="21" t="str">
        <f>Source!E29</f>
        <v>2</v>
      </c>
      <c r="B41" s="22" t="str">
        <f>Source!F29</f>
        <v>4.8-34-1</v>
      </c>
      <c r="C41" s="22" t="s">
        <v>29</v>
      </c>
      <c r="D41" s="24" t="str">
        <f>Source!H29</f>
        <v>1  ШТ.</v>
      </c>
      <c r="E41" s="23">
        <f>Source!I29</f>
        <v>6</v>
      </c>
      <c r="F41" s="26"/>
      <c r="G41" s="25"/>
      <c r="H41" s="23"/>
      <c r="I41" s="27"/>
      <c r="J41" s="23"/>
      <c r="K41" s="27"/>
      <c r="Q41">
        <f>ROUND((Source!DN29/100)*ROUND((ROUND((Source!AF29*Source!AV29*Source!I29),2)),2), 2)</f>
        <v>263.41000000000003</v>
      </c>
      <c r="R41">
        <f>Source!X29</f>
        <v>5319.29</v>
      </c>
      <c r="S41">
        <f>ROUND((Source!DO29/100)*ROUND((ROUND((Source!AF29*Source!AV29*Source!I29),2)),2), 2)</f>
        <v>164.63</v>
      </c>
      <c r="T41">
        <f>Source!Y29</f>
        <v>2541.44</v>
      </c>
      <c r="U41">
        <f>ROUND((175/100)*ROUND((ROUND((Source!AE29*Source!AV29*Source!I29),2)),2), 2)</f>
        <v>15.63</v>
      </c>
      <c r="V41">
        <f>ROUND((157/100)*ROUND(ROUND((ROUND((Source!AE29*Source!AV29*Source!I29),2)*Source!BS29),2), 2), 2)</f>
        <v>352.32</v>
      </c>
    </row>
    <row r="42" spans="1:28" ht="14.25" x14ac:dyDescent="0.2">
      <c r="A42" s="21"/>
      <c r="B42" s="22"/>
      <c r="C42" s="22" t="s">
        <v>235</v>
      </c>
      <c r="D42" s="24"/>
      <c r="E42" s="23"/>
      <c r="F42" s="26">
        <f>Source!AO29</f>
        <v>27.13</v>
      </c>
      <c r="G42" s="25" t="str">
        <f>Source!DG29</f>
        <v>)*1,2)*1,15</v>
      </c>
      <c r="H42" s="23">
        <f>Source!AV29</f>
        <v>1.0469999999999999</v>
      </c>
      <c r="I42" s="27">
        <f>ROUND((ROUND((Source!AF29*Source!AV29*Source!I29),2)),2)</f>
        <v>235.19</v>
      </c>
      <c r="J42" s="23">
        <f>IF(Source!BA29&lt;&gt; 0, Source!BA29, 1)</f>
        <v>25.13</v>
      </c>
      <c r="K42" s="27">
        <f>Source!S29</f>
        <v>5910.32</v>
      </c>
      <c r="W42">
        <f>I42</f>
        <v>235.19</v>
      </c>
    </row>
    <row r="43" spans="1:28" ht="14.4" x14ac:dyDescent="0.3">
      <c r="A43" s="21"/>
      <c r="B43" s="22"/>
      <c r="C43" s="22" t="s">
        <v>236</v>
      </c>
      <c r="D43" s="24"/>
      <c r="E43" s="23"/>
      <c r="F43" s="26">
        <f>Source!AM29</f>
        <v>5.16</v>
      </c>
      <c r="G43" s="25" t="str">
        <f>Source!DE29</f>
        <v>)*1,2)*1,15</v>
      </c>
      <c r="H43" s="23">
        <f>Source!AV29</f>
        <v>1.0469999999999999</v>
      </c>
      <c r="I43" s="27">
        <f>(ROUND((ROUND(((((Source!ET29*1.2)*1.15))*Source!AV29*Source!I29),2)),2)+ROUND((ROUND(((Source!AE29-(((Source!EU29*1.2)*1.15)))*Source!AV29*Source!I29),2)),2))</f>
        <v>44.73</v>
      </c>
      <c r="J43" s="23">
        <f>IF(Source!BB29&lt;&gt; 0, Source!BB29, 1)</f>
        <v>9.65</v>
      </c>
      <c r="K43" s="27">
        <f>Source!Q29</f>
        <v>431.64</v>
      </c>
    </row>
    <row r="44" spans="1:28" ht="14.4" x14ac:dyDescent="0.3">
      <c r="A44" s="21"/>
      <c r="B44" s="22"/>
      <c r="C44" s="22" t="s">
        <v>237</v>
      </c>
      <c r="D44" s="24"/>
      <c r="E44" s="23"/>
      <c r="F44" s="26">
        <f>Source!AN29</f>
        <v>1.03</v>
      </c>
      <c r="G44" s="25" t="str">
        <f>Source!DF29</f>
        <v>)*1,2)*1,15</v>
      </c>
      <c r="H44" s="23">
        <f>Source!AV29</f>
        <v>1.0469999999999999</v>
      </c>
      <c r="I44" s="28">
        <f>ROUND((ROUND((Source!AE29*Source!AV29*Source!I29),2)),2)</f>
        <v>8.93</v>
      </c>
      <c r="J44" s="23">
        <f>IF(Source!BS29&lt;&gt; 0, Source!BS29, 1)</f>
        <v>25.13</v>
      </c>
      <c r="K44" s="28">
        <f>Source!R29</f>
        <v>224.41</v>
      </c>
      <c r="W44">
        <f>I44</f>
        <v>8.93</v>
      </c>
    </row>
    <row r="45" spans="1:28" ht="14.4" x14ac:dyDescent="0.3">
      <c r="A45" s="21"/>
      <c r="B45" s="22"/>
      <c r="C45" s="22" t="s">
        <v>238</v>
      </c>
      <c r="D45" s="24"/>
      <c r="E45" s="23"/>
      <c r="F45" s="26">
        <f>Source!AL29</f>
        <v>7.56</v>
      </c>
      <c r="G45" s="25" t="str">
        <f>Source!DD29</f>
        <v/>
      </c>
      <c r="H45" s="23">
        <f>Source!AW29</f>
        <v>1</v>
      </c>
      <c r="I45" s="27">
        <f>ROUND((ROUND((Source!AC29*Source!AW29*Source!I29),2)),2)</f>
        <v>45.36</v>
      </c>
      <c r="J45" s="23">
        <f>IF(Source!BC29&lt;&gt; 0, Source!BC29, 1)</f>
        <v>6.17</v>
      </c>
      <c r="K45" s="27">
        <f>Source!P29</f>
        <v>279.87</v>
      </c>
    </row>
    <row r="46" spans="1:28" ht="14.4" x14ac:dyDescent="0.3">
      <c r="A46" s="21"/>
      <c r="B46" s="22"/>
      <c r="C46" s="22" t="s">
        <v>239</v>
      </c>
      <c r="D46" s="24" t="s">
        <v>240</v>
      </c>
      <c r="E46" s="23">
        <f>Source!DN29</f>
        <v>112</v>
      </c>
      <c r="F46" s="26"/>
      <c r="G46" s="25"/>
      <c r="H46" s="23"/>
      <c r="I46" s="27">
        <f>SUM(Q41:Q45)</f>
        <v>263.41000000000003</v>
      </c>
      <c r="J46" s="23">
        <f>Source!BZ29</f>
        <v>90</v>
      </c>
      <c r="K46" s="27">
        <f>SUM(R41:R45)</f>
        <v>5319.29</v>
      </c>
    </row>
    <row r="47" spans="1:28" ht="14.4" x14ac:dyDescent="0.3">
      <c r="A47" s="21"/>
      <c r="B47" s="22"/>
      <c r="C47" s="22" t="s">
        <v>241</v>
      </c>
      <c r="D47" s="24" t="s">
        <v>240</v>
      </c>
      <c r="E47" s="23">
        <f>Source!DO29</f>
        <v>70</v>
      </c>
      <c r="F47" s="26"/>
      <c r="G47" s="25"/>
      <c r="H47" s="23"/>
      <c r="I47" s="27">
        <f>SUM(S41:S46)</f>
        <v>164.63</v>
      </c>
      <c r="J47" s="23">
        <f>Source!CA29</f>
        <v>43</v>
      </c>
      <c r="K47" s="27">
        <f>SUM(T41:T46)</f>
        <v>2541.44</v>
      </c>
    </row>
    <row r="48" spans="1:28" ht="14.4" x14ac:dyDescent="0.3">
      <c r="A48" s="21"/>
      <c r="B48" s="22"/>
      <c r="C48" s="22" t="s">
        <v>242</v>
      </c>
      <c r="D48" s="24" t="s">
        <v>240</v>
      </c>
      <c r="E48" s="23">
        <f>175</f>
        <v>175</v>
      </c>
      <c r="F48" s="26"/>
      <c r="G48" s="25"/>
      <c r="H48" s="23"/>
      <c r="I48" s="27">
        <f>SUM(U41:U47)</f>
        <v>15.63</v>
      </c>
      <c r="J48" s="23">
        <f>157</f>
        <v>157</v>
      </c>
      <c r="K48" s="27">
        <f>SUM(V41:V47)</f>
        <v>352.32</v>
      </c>
    </row>
    <row r="49" spans="1:28" ht="14.4" x14ac:dyDescent="0.3">
      <c r="A49" s="30"/>
      <c r="B49" s="31"/>
      <c r="C49" s="31" t="s">
        <v>243</v>
      </c>
      <c r="D49" s="32" t="s">
        <v>244</v>
      </c>
      <c r="E49" s="33">
        <f>Source!AQ29</f>
        <v>2.15</v>
      </c>
      <c r="F49" s="34"/>
      <c r="G49" s="35" t="str">
        <f>Source!DI29</f>
        <v>)*1,2)*1,15</v>
      </c>
      <c r="H49" s="33">
        <f>Source!AV29</f>
        <v>1.0469999999999999</v>
      </c>
      <c r="I49" s="36">
        <f>Source!U29</f>
        <v>18.638693999999994</v>
      </c>
      <c r="J49" s="33"/>
      <c r="K49" s="36"/>
      <c r="AB49" s="29">
        <f>I49</f>
        <v>18.638693999999994</v>
      </c>
    </row>
    <row r="50" spans="1:28" ht="13.8" x14ac:dyDescent="0.25">
      <c r="A50" s="37"/>
      <c r="B50" s="37"/>
      <c r="C50" s="38" t="s">
        <v>245</v>
      </c>
      <c r="D50" s="37"/>
      <c r="E50" s="37"/>
      <c r="F50" s="37"/>
      <c r="G50" s="37"/>
      <c r="H50" s="54">
        <f>I42+I43+I45+I46+I47+I48</f>
        <v>768.95</v>
      </c>
      <c r="I50" s="54"/>
      <c r="J50" s="54">
        <f>K42+K43+K45+K46+K47+K48</f>
        <v>14834.88</v>
      </c>
      <c r="K50" s="54"/>
      <c r="O50" s="29">
        <f>I42+I43+I45+I46+I47+I48</f>
        <v>768.95</v>
      </c>
      <c r="P50" s="29">
        <f>K42+K43+K45+K46+K47+K48</f>
        <v>14834.88</v>
      </c>
      <c r="X50">
        <f>IF(Source!BI29&lt;=1,I42+I43+I45+I46+I47+I48-0, 0)</f>
        <v>0</v>
      </c>
      <c r="Y50">
        <f>IF(Source!BI29=2,I42+I43+I45+I46+I47+I48-0, 0)</f>
        <v>768.95</v>
      </c>
      <c r="Z50">
        <f>IF(Source!BI29=3,I42+I43+I45+I46+I47+I48-0, 0)</f>
        <v>0</v>
      </c>
      <c r="AA50">
        <f>IF(Source!BI29=4,I42+I43+I45+I46+I47+I48,0)</f>
        <v>0</v>
      </c>
    </row>
    <row r="52" spans="1:28" ht="41.4" x14ac:dyDescent="0.3">
      <c r="A52" s="21" t="str">
        <f>Source!E30</f>
        <v>3</v>
      </c>
      <c r="B52" s="22" t="str">
        <f>Source!F30</f>
        <v>4.10-82-3</v>
      </c>
      <c r="C52" s="22" t="s">
        <v>35</v>
      </c>
      <c r="D52" s="24" t="str">
        <f>Source!H30</f>
        <v>1  ШТ.</v>
      </c>
      <c r="E52" s="23">
        <f>Source!I30</f>
        <v>1</v>
      </c>
      <c r="F52" s="26"/>
      <c r="G52" s="25"/>
      <c r="H52" s="23"/>
      <c r="I52" s="27"/>
      <c r="J52" s="23"/>
      <c r="K52" s="27"/>
      <c r="Q52">
        <f>ROUND((Source!DN30/100)*ROUND((ROUND((Source!AF30*Source!AV30*Source!I30),2)),2), 2)</f>
        <v>78</v>
      </c>
      <c r="R52">
        <f>Source!X30</f>
        <v>1575.05</v>
      </c>
      <c r="S52">
        <f>ROUND((Source!DO30/100)*ROUND((ROUND((Source!AF30*Source!AV30*Source!I30),2)),2), 2)</f>
        <v>48.75</v>
      </c>
      <c r="T52">
        <f>Source!Y30</f>
        <v>752.52</v>
      </c>
      <c r="U52">
        <f>ROUND((175/100)*ROUND((ROUND((Source!AE30*Source!AV30*Source!I30),2)),2), 2)</f>
        <v>0.02</v>
      </c>
      <c r="V52">
        <f>ROUND((157/100)*ROUND(ROUND((ROUND((Source!AE30*Source!AV30*Source!I30),2)*Source!BS30),2), 2), 2)</f>
        <v>0.39</v>
      </c>
    </row>
    <row r="53" spans="1:28" ht="14.25" x14ac:dyDescent="0.2">
      <c r="A53" s="21"/>
      <c r="B53" s="22"/>
      <c r="C53" s="22" t="s">
        <v>235</v>
      </c>
      <c r="D53" s="24"/>
      <c r="E53" s="23"/>
      <c r="F53" s="26">
        <f>Source!AO30</f>
        <v>48.2</v>
      </c>
      <c r="G53" s="25" t="str">
        <f>Source!DG30</f>
        <v>)*1,2)*1,15</v>
      </c>
      <c r="H53" s="23">
        <f>Source!AV30</f>
        <v>1.0469999999999999</v>
      </c>
      <c r="I53" s="27">
        <f>ROUND((ROUND((Source!AF30*Source!AV30*Source!I30),2)),2)</f>
        <v>69.64</v>
      </c>
      <c r="J53" s="23">
        <f>IF(Source!BA30&lt;&gt; 0, Source!BA30, 1)</f>
        <v>25.13</v>
      </c>
      <c r="K53" s="27">
        <f>Source!S30</f>
        <v>1750.05</v>
      </c>
      <c r="W53">
        <f>I53</f>
        <v>69.64</v>
      </c>
    </row>
    <row r="54" spans="1:28" ht="14.4" x14ac:dyDescent="0.3">
      <c r="A54" s="21"/>
      <c r="B54" s="22"/>
      <c r="C54" s="22" t="s">
        <v>236</v>
      </c>
      <c r="D54" s="24"/>
      <c r="E54" s="23"/>
      <c r="F54" s="26">
        <f>Source!AM30</f>
        <v>0.05</v>
      </c>
      <c r="G54" s="25" t="str">
        <f>Source!DE30</f>
        <v>)*1,2)*1,15</v>
      </c>
      <c r="H54" s="23">
        <f>Source!AV30</f>
        <v>1.0469999999999999</v>
      </c>
      <c r="I54" s="27">
        <f>(ROUND((ROUND(((((Source!ET30*1.2)*1.15))*Source!AV30*Source!I30),2)),2)+ROUND((ROUND(((Source!AE30-(((Source!EU30*1.2)*1.15)))*Source!AV30*Source!I30),2)),2))</f>
        <v>7.0000000000000007E-2</v>
      </c>
      <c r="J54" s="23">
        <f>IF(Source!BB30&lt;&gt; 0, Source!BB30, 1)</f>
        <v>9.6</v>
      </c>
      <c r="K54" s="27">
        <f>Source!Q30</f>
        <v>0.67</v>
      </c>
    </row>
    <row r="55" spans="1:28" ht="14.4" x14ac:dyDescent="0.3">
      <c r="A55" s="21"/>
      <c r="B55" s="22"/>
      <c r="C55" s="22" t="s">
        <v>237</v>
      </c>
      <c r="D55" s="24"/>
      <c r="E55" s="23"/>
      <c r="F55" s="26">
        <f>Source!AN30</f>
        <v>0.01</v>
      </c>
      <c r="G55" s="25" t="str">
        <f>Source!DF30</f>
        <v>)*1,2)*1,15</v>
      </c>
      <c r="H55" s="23">
        <f>Source!AV30</f>
        <v>1.0469999999999999</v>
      </c>
      <c r="I55" s="28">
        <f>ROUND((ROUND((Source!AE30*Source!AV30*Source!I30),2)),2)</f>
        <v>0.01</v>
      </c>
      <c r="J55" s="23">
        <f>IF(Source!BS30&lt;&gt; 0, Source!BS30, 1)</f>
        <v>25.13</v>
      </c>
      <c r="K55" s="28">
        <f>Source!R30</f>
        <v>0.25</v>
      </c>
      <c r="W55">
        <f>I55</f>
        <v>0.01</v>
      </c>
    </row>
    <row r="56" spans="1:28" ht="14.4" x14ac:dyDescent="0.3">
      <c r="A56" s="21"/>
      <c r="B56" s="22"/>
      <c r="C56" s="22" t="s">
        <v>238</v>
      </c>
      <c r="D56" s="24"/>
      <c r="E56" s="23"/>
      <c r="F56" s="26">
        <f>Source!AL30</f>
        <v>3.36</v>
      </c>
      <c r="G56" s="25" t="str">
        <f>Source!DD30</f>
        <v/>
      </c>
      <c r="H56" s="23">
        <f>Source!AW30</f>
        <v>1</v>
      </c>
      <c r="I56" s="27">
        <f>ROUND((ROUND((Source!AC30*Source!AW30*Source!I30),2)),2)</f>
        <v>3.36</v>
      </c>
      <c r="J56" s="23">
        <f>IF(Source!BC30&lt;&gt; 0, Source!BC30, 1)</f>
        <v>6.17</v>
      </c>
      <c r="K56" s="27">
        <f>Source!P30</f>
        <v>20.73</v>
      </c>
    </row>
    <row r="57" spans="1:28" ht="14.4" x14ac:dyDescent="0.3">
      <c r="A57" s="21"/>
      <c r="B57" s="22"/>
      <c r="C57" s="22" t="s">
        <v>239</v>
      </c>
      <c r="D57" s="24" t="s">
        <v>240</v>
      </c>
      <c r="E57" s="23">
        <f>Source!DN30</f>
        <v>112</v>
      </c>
      <c r="F57" s="26"/>
      <c r="G57" s="25"/>
      <c r="H57" s="23"/>
      <c r="I57" s="27">
        <f>SUM(Q52:Q56)</f>
        <v>78</v>
      </c>
      <c r="J57" s="23">
        <f>Source!BZ30</f>
        <v>90</v>
      </c>
      <c r="K57" s="27">
        <f>SUM(R52:R56)</f>
        <v>1575.05</v>
      </c>
    </row>
    <row r="58" spans="1:28" ht="14.4" x14ac:dyDescent="0.3">
      <c r="A58" s="21"/>
      <c r="B58" s="22"/>
      <c r="C58" s="22" t="s">
        <v>241</v>
      </c>
      <c r="D58" s="24" t="s">
        <v>240</v>
      </c>
      <c r="E58" s="23">
        <f>Source!DO30</f>
        <v>70</v>
      </c>
      <c r="F58" s="26"/>
      <c r="G58" s="25"/>
      <c r="H58" s="23"/>
      <c r="I58" s="27">
        <f>SUM(S52:S57)</f>
        <v>48.75</v>
      </c>
      <c r="J58" s="23">
        <f>Source!CA30</f>
        <v>43</v>
      </c>
      <c r="K58" s="27">
        <f>SUM(T52:T57)</f>
        <v>752.52</v>
      </c>
    </row>
    <row r="59" spans="1:28" ht="14.4" x14ac:dyDescent="0.3">
      <c r="A59" s="21"/>
      <c r="B59" s="22"/>
      <c r="C59" s="22" t="s">
        <v>242</v>
      </c>
      <c r="D59" s="24" t="s">
        <v>240</v>
      </c>
      <c r="E59" s="23">
        <f>175</f>
        <v>175</v>
      </c>
      <c r="F59" s="26"/>
      <c r="G59" s="25"/>
      <c r="H59" s="23"/>
      <c r="I59" s="27">
        <f>SUM(U52:U58)</f>
        <v>0.02</v>
      </c>
      <c r="J59" s="23">
        <f>157</f>
        <v>157</v>
      </c>
      <c r="K59" s="27">
        <f>SUM(V52:V58)</f>
        <v>0.39</v>
      </c>
    </row>
    <row r="60" spans="1:28" ht="14.4" x14ac:dyDescent="0.3">
      <c r="A60" s="30"/>
      <c r="B60" s="31"/>
      <c r="C60" s="31" t="s">
        <v>243</v>
      </c>
      <c r="D60" s="32" t="s">
        <v>244</v>
      </c>
      <c r="E60" s="33">
        <f>Source!AQ30</f>
        <v>3.6</v>
      </c>
      <c r="F60" s="34"/>
      <c r="G60" s="35" t="str">
        <f>Source!DI30</f>
        <v>)*1,2)*1,15</v>
      </c>
      <c r="H60" s="33">
        <f>Source!AV30</f>
        <v>1.0469999999999999</v>
      </c>
      <c r="I60" s="36">
        <f>Source!U30</f>
        <v>5.2014959999999997</v>
      </c>
      <c r="J60" s="33"/>
      <c r="K60" s="36"/>
      <c r="AB60" s="29">
        <f>I60</f>
        <v>5.2014959999999997</v>
      </c>
    </row>
    <row r="61" spans="1:28" ht="13.8" x14ac:dyDescent="0.25">
      <c r="A61" s="37"/>
      <c r="B61" s="37"/>
      <c r="C61" s="38" t="s">
        <v>245</v>
      </c>
      <c r="D61" s="37"/>
      <c r="E61" s="37"/>
      <c r="F61" s="37"/>
      <c r="G61" s="37"/>
      <c r="H61" s="54">
        <f>I53+I54+I56+I57+I58+I59</f>
        <v>199.84</v>
      </c>
      <c r="I61" s="54"/>
      <c r="J61" s="54">
        <f>K53+K54+K56+K57+K58+K59</f>
        <v>4099.4100000000008</v>
      </c>
      <c r="K61" s="54"/>
      <c r="O61" s="29">
        <f>I53+I54+I56+I57+I58+I59</f>
        <v>199.84</v>
      </c>
      <c r="P61" s="29">
        <f>K53+K54+K56+K57+K58+K59</f>
        <v>4099.4100000000008</v>
      </c>
      <c r="X61">
        <f>IF(Source!BI30&lt;=1,I53+I54+I56+I57+I58+I59-0, 0)</f>
        <v>0</v>
      </c>
      <c r="Y61">
        <f>IF(Source!BI30=2,I53+I54+I56+I57+I58+I59-0, 0)</f>
        <v>199.84</v>
      </c>
      <c r="Z61">
        <f>IF(Source!BI30=3,I53+I54+I56+I57+I58+I59-0, 0)</f>
        <v>0</v>
      </c>
      <c r="AA61">
        <f>IF(Source!BI30=4,I53+I54+I56+I57+I58+I59,0)</f>
        <v>0</v>
      </c>
    </row>
    <row r="63" spans="1:28" ht="27.6" x14ac:dyDescent="0.3">
      <c r="A63" s="21" t="str">
        <f>Source!E31</f>
        <v>4</v>
      </c>
      <c r="B63" s="22" t="str">
        <f>Source!F31</f>
        <v>4.11-12-1</v>
      </c>
      <c r="C63" s="22" t="s">
        <v>41</v>
      </c>
      <c r="D63" s="24" t="str">
        <f>Source!H31</f>
        <v>1  ШТ.</v>
      </c>
      <c r="E63" s="23">
        <f>Source!I31</f>
        <v>1</v>
      </c>
      <c r="F63" s="26"/>
      <c r="G63" s="25"/>
      <c r="H63" s="23"/>
      <c r="I63" s="27"/>
      <c r="J63" s="23"/>
      <c r="K63" s="27"/>
      <c r="Q63">
        <f>ROUND((Source!DN31/100)*ROUND((ROUND((Source!AF31*Source!AV31*Source!I31),2)),2), 2)</f>
        <v>18.87</v>
      </c>
      <c r="R63">
        <f>Source!X31</f>
        <v>381.1</v>
      </c>
      <c r="S63">
        <f>ROUND((Source!DO31/100)*ROUND((ROUND((Source!AF31*Source!AV31*Source!I31),2)),2), 2)</f>
        <v>11.8</v>
      </c>
      <c r="T63">
        <f>Source!Y31</f>
        <v>173.61</v>
      </c>
      <c r="U63">
        <f>ROUND((175/100)*ROUND((ROUND((Source!AE31*Source!AV31*Source!I31),2)),2), 2)</f>
        <v>0.28000000000000003</v>
      </c>
      <c r="V63">
        <f>ROUND((157/100)*ROUND(ROUND((ROUND((Source!AE31*Source!AV31*Source!I31),2)*Source!BS31),2), 2), 2)</f>
        <v>6.31</v>
      </c>
    </row>
    <row r="64" spans="1:28" ht="14.4" x14ac:dyDescent="0.3">
      <c r="A64" s="21"/>
      <c r="B64" s="22"/>
      <c r="C64" s="22" t="s">
        <v>235</v>
      </c>
      <c r="D64" s="24"/>
      <c r="E64" s="23"/>
      <c r="F64" s="26">
        <f>Source!AO31</f>
        <v>11.66</v>
      </c>
      <c r="G64" s="25" t="str">
        <f>Source!DG31</f>
        <v>)*1,2)*1,15</v>
      </c>
      <c r="H64" s="23">
        <f>Source!AV31</f>
        <v>1.0469999999999999</v>
      </c>
      <c r="I64" s="27">
        <f>ROUND((ROUND((Source!AF31*Source!AV31*Source!I31),2)),2)</f>
        <v>16.850000000000001</v>
      </c>
      <c r="J64" s="23">
        <f>IF(Source!BA31&lt;&gt; 0, Source!BA31, 1)</f>
        <v>25.13</v>
      </c>
      <c r="K64" s="27">
        <f>Source!S31</f>
        <v>423.44</v>
      </c>
      <c r="W64">
        <f>I64</f>
        <v>16.850000000000001</v>
      </c>
    </row>
    <row r="65" spans="1:28" ht="14.4" x14ac:dyDescent="0.3">
      <c r="A65" s="21"/>
      <c r="B65" s="22"/>
      <c r="C65" s="22" t="s">
        <v>236</v>
      </c>
      <c r="D65" s="24"/>
      <c r="E65" s="23"/>
      <c r="F65" s="26">
        <f>Source!AM31</f>
        <v>0.45</v>
      </c>
      <c r="G65" s="25" t="str">
        <f>Source!DE31</f>
        <v>)*1,2)*1,15</v>
      </c>
      <c r="H65" s="23">
        <f>Source!AV31</f>
        <v>1.0469999999999999</v>
      </c>
      <c r="I65" s="27">
        <f>(ROUND((ROUND(((((Source!ET31*1.2)*1.15))*Source!AV31*Source!I31),2)),2)+ROUND((ROUND(((Source!AE31-(((Source!EU31*1.2)*1.15)))*Source!AV31*Source!I31),2)),2))</f>
        <v>0.65</v>
      </c>
      <c r="J65" s="23">
        <f>IF(Source!BB31&lt;&gt; 0, Source!BB31, 1)</f>
        <v>10.51</v>
      </c>
      <c r="K65" s="27">
        <f>Source!Q31</f>
        <v>6.83</v>
      </c>
    </row>
    <row r="66" spans="1:28" ht="14.4" x14ac:dyDescent="0.3">
      <c r="A66" s="21"/>
      <c r="B66" s="22"/>
      <c r="C66" s="22" t="s">
        <v>237</v>
      </c>
      <c r="D66" s="24"/>
      <c r="E66" s="23"/>
      <c r="F66" s="26">
        <f>Source!AN31</f>
        <v>0.11</v>
      </c>
      <c r="G66" s="25" t="str">
        <f>Source!DF31</f>
        <v>)*1,2)*1,15</v>
      </c>
      <c r="H66" s="23">
        <f>Source!AV31</f>
        <v>1.0469999999999999</v>
      </c>
      <c r="I66" s="28">
        <f>ROUND((ROUND((Source!AE31*Source!AV31*Source!I31),2)),2)</f>
        <v>0.16</v>
      </c>
      <c r="J66" s="23">
        <f>IF(Source!BS31&lt;&gt; 0, Source!BS31, 1)</f>
        <v>25.13</v>
      </c>
      <c r="K66" s="28">
        <f>Source!R31</f>
        <v>4.0199999999999996</v>
      </c>
      <c r="W66">
        <f>I66</f>
        <v>0.16</v>
      </c>
    </row>
    <row r="67" spans="1:28" ht="14.4" x14ac:dyDescent="0.3">
      <c r="A67" s="21"/>
      <c r="B67" s="22"/>
      <c r="C67" s="22" t="s">
        <v>238</v>
      </c>
      <c r="D67" s="24"/>
      <c r="E67" s="23"/>
      <c r="F67" s="26">
        <f>Source!AL31</f>
        <v>0.14000000000000001</v>
      </c>
      <c r="G67" s="25" t="str">
        <f>Source!DD31</f>
        <v/>
      </c>
      <c r="H67" s="23">
        <f>Source!AW31</f>
        <v>1</v>
      </c>
      <c r="I67" s="27">
        <f>ROUND((ROUND((Source!AC31*Source!AW31*Source!I31),2)),2)</f>
        <v>0.14000000000000001</v>
      </c>
      <c r="J67" s="23">
        <f>IF(Source!BC31&lt;&gt; 0, Source!BC31, 1)</f>
        <v>6.14</v>
      </c>
      <c r="K67" s="27">
        <f>Source!P31</f>
        <v>0.86</v>
      </c>
    </row>
    <row r="68" spans="1:28" ht="14.4" x14ac:dyDescent="0.3">
      <c r="A68" s="21"/>
      <c r="B68" s="22"/>
      <c r="C68" s="22" t="s">
        <v>239</v>
      </c>
      <c r="D68" s="24" t="s">
        <v>240</v>
      </c>
      <c r="E68" s="23">
        <f>Source!DN31</f>
        <v>112</v>
      </c>
      <c r="F68" s="26"/>
      <c r="G68" s="25"/>
      <c r="H68" s="23"/>
      <c r="I68" s="27">
        <f>SUM(Q63:Q67)</f>
        <v>18.87</v>
      </c>
      <c r="J68" s="23">
        <f>Source!BZ31</f>
        <v>90</v>
      </c>
      <c r="K68" s="27">
        <f>SUM(R63:R67)</f>
        <v>381.1</v>
      </c>
    </row>
    <row r="69" spans="1:28" ht="14.4" x14ac:dyDescent="0.3">
      <c r="A69" s="21"/>
      <c r="B69" s="22"/>
      <c r="C69" s="22" t="s">
        <v>241</v>
      </c>
      <c r="D69" s="24" t="s">
        <v>240</v>
      </c>
      <c r="E69" s="23">
        <f>Source!DO31</f>
        <v>70</v>
      </c>
      <c r="F69" s="26"/>
      <c r="G69" s="25"/>
      <c r="H69" s="23"/>
      <c r="I69" s="27">
        <f>SUM(S63:S68)</f>
        <v>11.8</v>
      </c>
      <c r="J69" s="23">
        <f>Source!CA31</f>
        <v>41</v>
      </c>
      <c r="K69" s="27">
        <f>SUM(T63:T68)</f>
        <v>173.61</v>
      </c>
    </row>
    <row r="70" spans="1:28" ht="14.4" x14ac:dyDescent="0.3">
      <c r="A70" s="21"/>
      <c r="B70" s="22"/>
      <c r="C70" s="22" t="s">
        <v>242</v>
      </c>
      <c r="D70" s="24" t="s">
        <v>240</v>
      </c>
      <c r="E70" s="23">
        <f>175</f>
        <v>175</v>
      </c>
      <c r="F70" s="26"/>
      <c r="G70" s="25"/>
      <c r="H70" s="23"/>
      <c r="I70" s="27">
        <f>SUM(U63:U69)</f>
        <v>0.28000000000000003</v>
      </c>
      <c r="J70" s="23">
        <f>157</f>
        <v>157</v>
      </c>
      <c r="K70" s="27">
        <f>SUM(V63:V69)</f>
        <v>6.31</v>
      </c>
    </row>
    <row r="71" spans="1:28" ht="14.4" x14ac:dyDescent="0.3">
      <c r="A71" s="30"/>
      <c r="B71" s="31"/>
      <c r="C71" s="31" t="s">
        <v>243</v>
      </c>
      <c r="D71" s="32" t="s">
        <v>244</v>
      </c>
      <c r="E71" s="33">
        <f>Source!AQ31</f>
        <v>1.03</v>
      </c>
      <c r="F71" s="34"/>
      <c r="G71" s="35" t="str">
        <f>Source!DI31</f>
        <v>)*1,2)*1,15</v>
      </c>
      <c r="H71" s="33">
        <f>Source!AV31</f>
        <v>1.0469999999999999</v>
      </c>
      <c r="I71" s="36">
        <f>Source!U31</f>
        <v>1.4882057999999996</v>
      </c>
      <c r="J71" s="33"/>
      <c r="K71" s="36"/>
      <c r="AB71" s="29">
        <f>I71</f>
        <v>1.4882057999999996</v>
      </c>
    </row>
    <row r="72" spans="1:28" ht="13.8" x14ac:dyDescent="0.25">
      <c r="A72" s="37"/>
      <c r="B72" s="37"/>
      <c r="C72" s="38" t="s">
        <v>245</v>
      </c>
      <c r="D72" s="37"/>
      <c r="E72" s="37"/>
      <c r="F72" s="37"/>
      <c r="G72" s="37"/>
      <c r="H72" s="54">
        <f>I64+I65+I67+I68+I69+I70</f>
        <v>48.59</v>
      </c>
      <c r="I72" s="54"/>
      <c r="J72" s="54">
        <f>K64+K65+K67+K68+K69+K70</f>
        <v>992.15</v>
      </c>
      <c r="K72" s="54"/>
      <c r="O72" s="29">
        <f>I64+I65+I67+I68+I69+I70</f>
        <v>48.59</v>
      </c>
      <c r="P72" s="29">
        <f>K64+K65+K67+K68+K69+K70</f>
        <v>992.15</v>
      </c>
      <c r="X72">
        <f>IF(Source!BI31&lt;=1,I64+I65+I67+I68+I69+I70-0, 0)</f>
        <v>0</v>
      </c>
      <c r="Y72">
        <f>IF(Source!BI31=2,I64+I65+I67+I68+I69+I70-0, 0)</f>
        <v>48.59</v>
      </c>
      <c r="Z72">
        <f>IF(Source!BI31=3,I64+I65+I67+I68+I69+I70-0, 0)</f>
        <v>0</v>
      </c>
      <c r="AA72">
        <f>IF(Source!BI31=4,I64+I65+I67+I68+I69+I70,0)</f>
        <v>0</v>
      </c>
    </row>
    <row r="74" spans="1:28" ht="96.6" x14ac:dyDescent="0.3">
      <c r="A74" s="21" t="str">
        <f>Source!E32</f>
        <v>5</v>
      </c>
      <c r="B74" s="22" t="str">
        <f>Source!F32</f>
        <v>4.8-281-1</v>
      </c>
      <c r="C74" s="22" t="s">
        <v>45</v>
      </c>
      <c r="D74" s="24" t="str">
        <f>Source!H32</f>
        <v>100 м</v>
      </c>
      <c r="E74" s="23">
        <f>Source!I32</f>
        <v>2</v>
      </c>
      <c r="F74" s="26"/>
      <c r="G74" s="25"/>
      <c r="H74" s="23"/>
      <c r="I74" s="27"/>
      <c r="J74" s="23"/>
      <c r="K74" s="27"/>
      <c r="Q74">
        <f>ROUND((Source!DN32/100)*ROUND((ROUND((Source!AF32*Source!AV32*Source!I32),2)),2), 2)</f>
        <v>2576.3000000000002</v>
      </c>
      <c r="R74">
        <f>Source!X32</f>
        <v>52025.21</v>
      </c>
      <c r="S74">
        <f>ROUND((Source!DO32/100)*ROUND((ROUND((Source!AF32*Source!AV32*Source!I32),2)),2), 2)</f>
        <v>1610.19</v>
      </c>
      <c r="T74">
        <f>Source!Y32</f>
        <v>24856.49</v>
      </c>
      <c r="U74">
        <f>ROUND((175/100)*ROUND((ROUND((Source!AE32*Source!AV32*Source!I32),2)),2), 2)</f>
        <v>11.83</v>
      </c>
      <c r="V74">
        <f>ROUND((157/100)*ROUND(ROUND((ROUND((Source!AE32*Source!AV32*Source!I32),2)*Source!BS32),2), 2), 2)</f>
        <v>266.70999999999998</v>
      </c>
    </row>
    <row r="75" spans="1:28" ht="12.75" x14ac:dyDescent="0.2">
      <c r="C75" s="39" t="str">
        <f>"Объем: "&amp;Source!I32&amp;"=200/"&amp;"100"</f>
        <v>Объем: 2=200/100</v>
      </c>
    </row>
    <row r="76" spans="1:28" ht="14.4" x14ac:dyDescent="0.3">
      <c r="A76" s="21"/>
      <c r="B76" s="22"/>
      <c r="C76" s="22" t="s">
        <v>235</v>
      </c>
      <c r="D76" s="24"/>
      <c r="E76" s="23"/>
      <c r="F76" s="26">
        <f>Source!AO32</f>
        <v>796.02</v>
      </c>
      <c r="G76" s="25" t="str">
        <f>Source!DG32</f>
        <v>)*1,2)*1,15</v>
      </c>
      <c r="H76" s="23">
        <f>Source!AV32</f>
        <v>1.0469999999999999</v>
      </c>
      <c r="I76" s="27">
        <f>ROUND((ROUND((Source!AF32*Source!AV32*Source!I32),2)),2)</f>
        <v>2300.27</v>
      </c>
      <c r="J76" s="23">
        <f>IF(Source!BA32&lt;&gt; 0, Source!BA32, 1)</f>
        <v>25.13</v>
      </c>
      <c r="K76" s="27">
        <f>Source!S32</f>
        <v>57805.79</v>
      </c>
      <c r="W76">
        <f>I76</f>
        <v>2300.27</v>
      </c>
    </row>
    <row r="77" spans="1:28" ht="14.4" x14ac:dyDescent="0.3">
      <c r="A77" s="21"/>
      <c r="B77" s="22"/>
      <c r="C77" s="22" t="s">
        <v>236</v>
      </c>
      <c r="D77" s="24"/>
      <c r="E77" s="23"/>
      <c r="F77" s="26">
        <f>Source!AM32</f>
        <v>41.34</v>
      </c>
      <c r="G77" s="25" t="str">
        <f>Source!DE32</f>
        <v>)*1,2)*1,15</v>
      </c>
      <c r="H77" s="23">
        <f>Source!AV32</f>
        <v>1.0469999999999999</v>
      </c>
      <c r="I77" s="27">
        <f>(ROUND((ROUND(((((Source!ET32*1.2)*1.15))*Source!AV32*Source!I32),2)),2)+ROUND((ROUND(((Source!AE32-(((Source!EU32*1.2)*1.15)))*Source!AV32*Source!I32),2)),2))</f>
        <v>119.46</v>
      </c>
      <c r="J77" s="23">
        <f>IF(Source!BB32&lt;&gt; 0, Source!BB32, 1)</f>
        <v>6.88</v>
      </c>
      <c r="K77" s="27">
        <f>Source!Q32</f>
        <v>821.88</v>
      </c>
    </row>
    <row r="78" spans="1:28" ht="14.4" x14ac:dyDescent="0.3">
      <c r="A78" s="21"/>
      <c r="B78" s="22"/>
      <c r="C78" s="22" t="s">
        <v>237</v>
      </c>
      <c r="D78" s="24"/>
      <c r="E78" s="23"/>
      <c r="F78" s="26">
        <f>Source!AN32</f>
        <v>2.34</v>
      </c>
      <c r="G78" s="25" t="str">
        <f>Source!DF32</f>
        <v>)*1,2)*1,15</v>
      </c>
      <c r="H78" s="23">
        <f>Source!AV32</f>
        <v>1.0469999999999999</v>
      </c>
      <c r="I78" s="28">
        <f>ROUND((ROUND((Source!AE32*Source!AV32*Source!I32),2)),2)</f>
        <v>6.76</v>
      </c>
      <c r="J78" s="23">
        <f>IF(Source!BS32&lt;&gt; 0, Source!BS32, 1)</f>
        <v>25.13</v>
      </c>
      <c r="K78" s="28">
        <f>Source!R32</f>
        <v>169.88</v>
      </c>
      <c r="W78">
        <f>I78</f>
        <v>6.76</v>
      </c>
    </row>
    <row r="79" spans="1:28" ht="14.4" x14ac:dyDescent="0.3">
      <c r="A79" s="21"/>
      <c r="B79" s="22"/>
      <c r="C79" s="22" t="s">
        <v>238</v>
      </c>
      <c r="D79" s="24"/>
      <c r="E79" s="23"/>
      <c r="F79" s="26">
        <f>Source!AL32</f>
        <v>1733.53</v>
      </c>
      <c r="G79" s="25" t="str">
        <f>Source!DD32</f>
        <v/>
      </c>
      <c r="H79" s="23">
        <f>Source!AW32</f>
        <v>1</v>
      </c>
      <c r="I79" s="27">
        <f>ROUND((ROUND((Source!AC32*Source!AW32*Source!I32),2)),2)</f>
        <v>3467.06</v>
      </c>
      <c r="J79" s="23">
        <f>IF(Source!BC32&lt;&gt; 0, Source!BC32, 1)</f>
        <v>6.17</v>
      </c>
      <c r="K79" s="27">
        <f>Source!P32</f>
        <v>21391.759999999998</v>
      </c>
    </row>
    <row r="80" spans="1:28" ht="55.2" x14ac:dyDescent="0.3">
      <c r="A80" s="21" t="str">
        <f>Source!E33</f>
        <v>5,1</v>
      </c>
      <c r="B80" s="22" t="str">
        <f>Source!F33</f>
        <v>1.12-5-41</v>
      </c>
      <c r="C80" s="22" t="s">
        <v>52</v>
      </c>
      <c r="D80" s="24" t="str">
        <f>Source!H33</f>
        <v>м</v>
      </c>
      <c r="E80" s="23">
        <f>Source!I33</f>
        <v>204</v>
      </c>
      <c r="F80" s="26">
        <f>Source!AK33</f>
        <v>3.35</v>
      </c>
      <c r="G80" s="40" t="s">
        <v>4</v>
      </c>
      <c r="H80" s="23">
        <f>Source!AW33</f>
        <v>1</v>
      </c>
      <c r="I80" s="27">
        <f>ROUND((ROUND((Source!AC33*Source!AW33*Source!I33),2)),2)+(ROUND((ROUND(((Source!ET33)*Source!AV33*Source!I33),2)),2)+ROUND((ROUND(((Source!AE33-(Source!EU33))*Source!AV33*Source!I33),2)),2))+ROUND((ROUND((Source!AF33*Source!AV33*Source!I33),2)),2)</f>
        <v>683.4</v>
      </c>
      <c r="J80" s="23">
        <f>IF(Source!BC33&lt;&gt; 0, Source!BC33, 1)</f>
        <v>2.21</v>
      </c>
      <c r="K80" s="27">
        <f>Source!O33</f>
        <v>1510.31</v>
      </c>
      <c r="Q80">
        <f>ROUND((Source!DN33/100)*ROUND((ROUND((Source!AF33*Source!AV33*Source!I33),2)),2), 2)</f>
        <v>0</v>
      </c>
      <c r="R80">
        <f>Source!X33</f>
        <v>0</v>
      </c>
      <c r="S80">
        <f>ROUND((Source!DO33/100)*ROUND((ROUND((Source!AF33*Source!AV33*Source!I33),2)),2), 2)</f>
        <v>0</v>
      </c>
      <c r="T80">
        <f>Source!Y33</f>
        <v>0</v>
      </c>
      <c r="U80">
        <f>ROUND((175/100)*ROUND((ROUND((Source!AE33*Source!AV33*Source!I33),2)),2), 2)</f>
        <v>0</v>
      </c>
      <c r="V80">
        <f>ROUND((157/100)*ROUND(ROUND((ROUND((Source!AE33*Source!AV33*Source!I33),2)*Source!BS33),2), 2), 2)</f>
        <v>0</v>
      </c>
      <c r="X80">
        <f>IF(Source!BI33&lt;=1,I80, 0)</f>
        <v>0</v>
      </c>
      <c r="Y80">
        <f>IF(Source!BI33=2,I80, 0)</f>
        <v>683.4</v>
      </c>
      <c r="Z80">
        <f>IF(Source!BI33=3,I80, 0)</f>
        <v>0</v>
      </c>
      <c r="AA80">
        <f>IF(Source!BI33=4,I80, 0)</f>
        <v>0</v>
      </c>
    </row>
    <row r="81" spans="1:28" ht="14.4" x14ac:dyDescent="0.3">
      <c r="A81" s="21"/>
      <c r="B81" s="22"/>
      <c r="C81" s="22" t="s">
        <v>239</v>
      </c>
      <c r="D81" s="24" t="s">
        <v>240</v>
      </c>
      <c r="E81" s="23">
        <f>Source!DN32</f>
        <v>112</v>
      </c>
      <c r="F81" s="26"/>
      <c r="G81" s="25"/>
      <c r="H81" s="23"/>
      <c r="I81" s="27">
        <f>SUM(Q74:Q80)</f>
        <v>2576.3000000000002</v>
      </c>
      <c r="J81" s="23">
        <f>Source!BZ32</f>
        <v>90</v>
      </c>
      <c r="K81" s="27">
        <f>SUM(R74:R80)</f>
        <v>52025.21</v>
      </c>
    </row>
    <row r="82" spans="1:28" ht="14.4" x14ac:dyDescent="0.3">
      <c r="A82" s="21"/>
      <c r="B82" s="22"/>
      <c r="C82" s="22" t="s">
        <v>241</v>
      </c>
      <c r="D82" s="24" t="s">
        <v>240</v>
      </c>
      <c r="E82" s="23">
        <f>Source!DO32</f>
        <v>70</v>
      </c>
      <c r="F82" s="26"/>
      <c r="G82" s="25"/>
      <c r="H82" s="23"/>
      <c r="I82" s="27">
        <f>SUM(S74:S81)</f>
        <v>1610.19</v>
      </c>
      <c r="J82" s="23">
        <f>Source!CA32</f>
        <v>43</v>
      </c>
      <c r="K82" s="27">
        <f>SUM(T74:T81)</f>
        <v>24856.49</v>
      </c>
    </row>
    <row r="83" spans="1:28" ht="14.4" x14ac:dyDescent="0.3">
      <c r="A83" s="21"/>
      <c r="B83" s="22"/>
      <c r="C83" s="22" t="s">
        <v>242</v>
      </c>
      <c r="D83" s="24" t="s">
        <v>240</v>
      </c>
      <c r="E83" s="23">
        <f>175</f>
        <v>175</v>
      </c>
      <c r="F83" s="26"/>
      <c r="G83" s="25"/>
      <c r="H83" s="23"/>
      <c r="I83" s="27">
        <f>SUM(U74:U82)</f>
        <v>11.83</v>
      </c>
      <c r="J83" s="23">
        <f>157</f>
        <v>157</v>
      </c>
      <c r="K83" s="27">
        <f>SUM(V74:V82)</f>
        <v>266.70999999999998</v>
      </c>
    </row>
    <row r="84" spans="1:28" ht="14.4" x14ac:dyDescent="0.3">
      <c r="A84" s="30"/>
      <c r="B84" s="31"/>
      <c r="C84" s="31" t="s">
        <v>243</v>
      </c>
      <c r="D84" s="32" t="s">
        <v>244</v>
      </c>
      <c r="E84" s="33">
        <f>Source!AQ32</f>
        <v>58.66</v>
      </c>
      <c r="F84" s="34"/>
      <c r="G84" s="35" t="str">
        <f>Source!DI32</f>
        <v>)*1,2)*1,15</v>
      </c>
      <c r="H84" s="33">
        <f>Source!AV32</f>
        <v>1.0469999999999999</v>
      </c>
      <c r="I84" s="36">
        <f>Source!U32</f>
        <v>169.51097519999996</v>
      </c>
      <c r="J84" s="33"/>
      <c r="K84" s="36"/>
      <c r="AB84" s="29">
        <f>I84</f>
        <v>169.51097519999996</v>
      </c>
    </row>
    <row r="85" spans="1:28" ht="13.8" x14ac:dyDescent="0.25">
      <c r="A85" s="37"/>
      <c r="B85" s="37"/>
      <c r="C85" s="38" t="s">
        <v>245</v>
      </c>
      <c r="D85" s="37"/>
      <c r="E85" s="37"/>
      <c r="F85" s="37"/>
      <c r="G85" s="37"/>
      <c r="H85" s="54">
        <f>I76+I77+I79+I81+I82+I83+SUM(I80:I80)</f>
        <v>10768.51</v>
      </c>
      <c r="I85" s="54"/>
      <c r="J85" s="54">
        <f>K76+K77+K79+K81+K82+K83+SUM(K80:K80)</f>
        <v>158678.14999999997</v>
      </c>
      <c r="K85" s="54"/>
      <c r="O85" s="29">
        <f>I76+I77+I79+I81+I82+I83+SUM(I80:I80)</f>
        <v>10768.51</v>
      </c>
      <c r="P85" s="29">
        <f>K76+K77+K79+K81+K82+K83+SUM(K80:K80)</f>
        <v>158678.14999999997</v>
      </c>
      <c r="X85">
        <f>IF(Source!BI32&lt;=1,I76+I77+I79+I81+I82+I83-0, 0)</f>
        <v>0</v>
      </c>
      <c r="Y85">
        <f>IF(Source!BI32=2,I76+I77+I79+I81+I82+I83-0, 0)</f>
        <v>10085.11</v>
      </c>
      <c r="Z85">
        <f>IF(Source!BI32=3,I76+I77+I79+I81+I82+I83-0, 0)</f>
        <v>0</v>
      </c>
      <c r="AA85">
        <f>IF(Source!BI32=4,I76+I77+I79+I81+I82+I83,0)</f>
        <v>0</v>
      </c>
    </row>
    <row r="87" spans="1:28" ht="69" x14ac:dyDescent="0.3">
      <c r="A87" s="21" t="str">
        <f>Source!E34</f>
        <v>6</v>
      </c>
      <c r="B87" s="22" t="str">
        <f>Source!F34</f>
        <v>4.8-175-3</v>
      </c>
      <c r="C87" s="22" t="s">
        <v>57</v>
      </c>
      <c r="D87" s="24" t="str">
        <f>Source!H34</f>
        <v>100 м</v>
      </c>
      <c r="E87" s="23">
        <f>Source!I34</f>
        <v>1.4</v>
      </c>
      <c r="F87" s="26"/>
      <c r="G87" s="25"/>
      <c r="H87" s="23"/>
      <c r="I87" s="27"/>
      <c r="J87" s="23"/>
      <c r="K87" s="27"/>
      <c r="Q87">
        <f>ROUND((Source!DN34/100)*ROUND((ROUND((Source!AF34*Source!AV34*Source!I34),2)),2), 2)</f>
        <v>201.41</v>
      </c>
      <c r="R87">
        <f>Source!X34</f>
        <v>4067.22</v>
      </c>
      <c r="S87">
        <f>ROUND((Source!DO34/100)*ROUND((ROUND((Source!AF34*Source!AV34*Source!I34),2)),2), 2)</f>
        <v>125.88</v>
      </c>
      <c r="T87">
        <f>Source!Y34</f>
        <v>1943.23</v>
      </c>
      <c r="U87">
        <f>ROUND((175/100)*ROUND((ROUND((Source!AE34*Source!AV34*Source!I34),2)),2), 2)</f>
        <v>2.8</v>
      </c>
      <c r="V87">
        <f>ROUND((157/100)*ROUND(ROUND((ROUND((Source!AE34*Source!AV34*Source!I34),2)*Source!BS34),2), 2), 2)</f>
        <v>63.13</v>
      </c>
    </row>
    <row r="88" spans="1:28" ht="12.75" x14ac:dyDescent="0.2">
      <c r="C88" s="39" t="str">
        <f>"Объем: "&amp;Source!I34&amp;"=140/"&amp;"100"</f>
        <v>Объем: 1,4=140/100</v>
      </c>
    </row>
    <row r="89" spans="1:28" ht="14.4" x14ac:dyDescent="0.3">
      <c r="A89" s="21"/>
      <c r="B89" s="22"/>
      <c r="C89" s="22" t="s">
        <v>235</v>
      </c>
      <c r="D89" s="24"/>
      <c r="E89" s="23"/>
      <c r="F89" s="26">
        <f>Source!AO34</f>
        <v>88.9</v>
      </c>
      <c r="G89" s="25" t="str">
        <f>Source!DG34</f>
        <v>)*1,2)*1,15</v>
      </c>
      <c r="H89" s="23">
        <f>Source!AV34</f>
        <v>1.0469999999999999</v>
      </c>
      <c r="I89" s="27">
        <f>ROUND((ROUND((Source!AF34*Source!AV34*Source!I34),2)),2)</f>
        <v>179.83</v>
      </c>
      <c r="J89" s="23">
        <f>IF(Source!BA34&lt;&gt; 0, Source!BA34, 1)</f>
        <v>25.13</v>
      </c>
      <c r="K89" s="27">
        <f>Source!S34</f>
        <v>4519.13</v>
      </c>
      <c r="W89">
        <f>I89</f>
        <v>179.83</v>
      </c>
    </row>
    <row r="90" spans="1:28" ht="14.4" x14ac:dyDescent="0.3">
      <c r="A90" s="21"/>
      <c r="B90" s="22"/>
      <c r="C90" s="22" t="s">
        <v>236</v>
      </c>
      <c r="D90" s="24"/>
      <c r="E90" s="23"/>
      <c r="F90" s="26">
        <f>Source!AM34</f>
        <v>3.39</v>
      </c>
      <c r="G90" s="25" t="str">
        <f>Source!DE34</f>
        <v>)*1,2)*1,15</v>
      </c>
      <c r="H90" s="23">
        <f>Source!AV34</f>
        <v>1.0469999999999999</v>
      </c>
      <c r="I90" s="27">
        <f>(ROUND((ROUND(((((Source!ET34*1.2)*1.15))*Source!AV34*Source!I34),2)),2)+ROUND((ROUND(((Source!AE34-(((Source!EU34*1.2)*1.15)))*Source!AV34*Source!I34),2)),2))</f>
        <v>6.86</v>
      </c>
      <c r="J90" s="23">
        <f>IF(Source!BB34&lt;&gt; 0, Source!BB34, 1)</f>
        <v>10.3</v>
      </c>
      <c r="K90" s="27">
        <f>Source!Q34</f>
        <v>70.66</v>
      </c>
    </row>
    <row r="91" spans="1:28" ht="14.4" x14ac:dyDescent="0.3">
      <c r="A91" s="21"/>
      <c r="B91" s="22"/>
      <c r="C91" s="22" t="s">
        <v>237</v>
      </c>
      <c r="D91" s="24"/>
      <c r="E91" s="23"/>
      <c r="F91" s="26">
        <f>Source!AN34</f>
        <v>0.79</v>
      </c>
      <c r="G91" s="25" t="str">
        <f>Source!DF34</f>
        <v>)*1,2)*1,15</v>
      </c>
      <c r="H91" s="23">
        <f>Source!AV34</f>
        <v>1.0469999999999999</v>
      </c>
      <c r="I91" s="28">
        <f>ROUND((ROUND((Source!AE34*Source!AV34*Source!I34),2)),2)</f>
        <v>1.6</v>
      </c>
      <c r="J91" s="23">
        <f>IF(Source!BS34&lt;&gt; 0, Source!BS34, 1)</f>
        <v>25.13</v>
      </c>
      <c r="K91" s="28">
        <f>Source!R34</f>
        <v>40.21</v>
      </c>
      <c r="W91">
        <f>I91</f>
        <v>1.6</v>
      </c>
    </row>
    <row r="92" spans="1:28" ht="14.4" x14ac:dyDescent="0.3">
      <c r="A92" s="21"/>
      <c r="B92" s="22"/>
      <c r="C92" s="22" t="s">
        <v>238</v>
      </c>
      <c r="D92" s="24"/>
      <c r="E92" s="23"/>
      <c r="F92" s="26">
        <f>Source!AL34</f>
        <v>15.19</v>
      </c>
      <c r="G92" s="25" t="str">
        <f>Source!DD34</f>
        <v/>
      </c>
      <c r="H92" s="23">
        <f>Source!AW34</f>
        <v>1</v>
      </c>
      <c r="I92" s="27">
        <f>ROUND((ROUND((Source!AC34*Source!AW34*Source!I34),2)),2)</f>
        <v>21.27</v>
      </c>
      <c r="J92" s="23">
        <f>IF(Source!BC34&lt;&gt; 0, Source!BC34, 1)</f>
        <v>6.17</v>
      </c>
      <c r="K92" s="27">
        <f>Source!P34</f>
        <v>131.24</v>
      </c>
    </row>
    <row r="93" spans="1:28" ht="14.4" x14ac:dyDescent="0.3">
      <c r="A93" s="21"/>
      <c r="B93" s="22"/>
      <c r="C93" s="22" t="s">
        <v>239</v>
      </c>
      <c r="D93" s="24" t="s">
        <v>240</v>
      </c>
      <c r="E93" s="23">
        <f>Source!DN34</f>
        <v>112</v>
      </c>
      <c r="F93" s="26"/>
      <c r="G93" s="25"/>
      <c r="H93" s="23"/>
      <c r="I93" s="27">
        <f>SUM(Q87:Q92)</f>
        <v>201.41</v>
      </c>
      <c r="J93" s="23">
        <f>Source!BZ34</f>
        <v>90</v>
      </c>
      <c r="K93" s="27">
        <f>SUM(R87:R92)</f>
        <v>4067.22</v>
      </c>
    </row>
    <row r="94" spans="1:28" ht="14.4" x14ac:dyDescent="0.3">
      <c r="A94" s="21"/>
      <c r="B94" s="22"/>
      <c r="C94" s="22" t="s">
        <v>241</v>
      </c>
      <c r="D94" s="24" t="s">
        <v>240</v>
      </c>
      <c r="E94" s="23">
        <f>Source!DO34</f>
        <v>70</v>
      </c>
      <c r="F94" s="26"/>
      <c r="G94" s="25"/>
      <c r="H94" s="23"/>
      <c r="I94" s="27">
        <f>SUM(S87:S93)</f>
        <v>125.88</v>
      </c>
      <c r="J94" s="23">
        <f>Source!CA34</f>
        <v>43</v>
      </c>
      <c r="K94" s="27">
        <f>SUM(T87:T93)</f>
        <v>1943.23</v>
      </c>
    </row>
    <row r="95" spans="1:28" ht="14.4" x14ac:dyDescent="0.3">
      <c r="A95" s="21"/>
      <c r="B95" s="22"/>
      <c r="C95" s="22" t="s">
        <v>242</v>
      </c>
      <c r="D95" s="24" t="s">
        <v>240</v>
      </c>
      <c r="E95" s="23">
        <f>175</f>
        <v>175</v>
      </c>
      <c r="F95" s="26"/>
      <c r="G95" s="25"/>
      <c r="H95" s="23"/>
      <c r="I95" s="27">
        <f>SUM(U87:U94)</f>
        <v>2.8</v>
      </c>
      <c r="J95" s="23">
        <f>157</f>
        <v>157</v>
      </c>
      <c r="K95" s="27">
        <f>SUM(V87:V94)</f>
        <v>63.13</v>
      </c>
    </row>
    <row r="96" spans="1:28" ht="14.4" x14ac:dyDescent="0.3">
      <c r="A96" s="30"/>
      <c r="B96" s="31"/>
      <c r="C96" s="31" t="s">
        <v>243</v>
      </c>
      <c r="D96" s="32" t="s">
        <v>244</v>
      </c>
      <c r="E96" s="33">
        <f>Source!AQ34</f>
        <v>7.21</v>
      </c>
      <c r="F96" s="34"/>
      <c r="G96" s="35" t="str">
        <f>Source!DI34</f>
        <v>)*1,2)*1,15</v>
      </c>
      <c r="H96" s="33">
        <f>Source!AV34</f>
        <v>1.0469999999999999</v>
      </c>
      <c r="I96" s="36">
        <f>Source!U34</f>
        <v>14.584416839999996</v>
      </c>
      <c r="J96" s="33"/>
      <c r="K96" s="36"/>
      <c r="AB96" s="29">
        <f>I96</f>
        <v>14.584416839999996</v>
      </c>
    </row>
    <row r="97" spans="1:27" ht="13.8" x14ac:dyDescent="0.25">
      <c r="A97" s="37"/>
      <c r="B97" s="37"/>
      <c r="C97" s="38" t="s">
        <v>245</v>
      </c>
      <c r="D97" s="37"/>
      <c r="E97" s="37"/>
      <c r="F97" s="37"/>
      <c r="G97" s="37"/>
      <c r="H97" s="54">
        <f>I89+I90+I92+I93+I94+I95</f>
        <v>538.04999999999995</v>
      </c>
      <c r="I97" s="54"/>
      <c r="J97" s="54">
        <f>K89+K90+K92+K93+K94+K95</f>
        <v>10794.609999999999</v>
      </c>
      <c r="K97" s="54"/>
      <c r="O97" s="29">
        <f>I89+I90+I92+I93+I94+I95</f>
        <v>538.04999999999995</v>
      </c>
      <c r="P97" s="29">
        <f>K89+K90+K92+K93+K94+K95</f>
        <v>10794.609999999999</v>
      </c>
      <c r="X97">
        <f>IF(Source!BI34&lt;=1,I89+I90+I92+I93+I94+I95-0, 0)</f>
        <v>0</v>
      </c>
      <c r="Y97">
        <f>IF(Source!BI34=2,I89+I90+I92+I93+I94+I95-0, 0)</f>
        <v>538.04999999999995</v>
      </c>
      <c r="Z97">
        <f>IF(Source!BI34=3,I89+I90+I92+I93+I94+I95-0, 0)</f>
        <v>0</v>
      </c>
      <c r="AA97">
        <f>IF(Source!BI34=4,I89+I90+I92+I93+I94+I95,0)</f>
        <v>0</v>
      </c>
    </row>
    <row r="99" spans="1:27" ht="41.4" x14ac:dyDescent="0.3">
      <c r="A99" s="21" t="str">
        <f>Source!E35</f>
        <v>7</v>
      </c>
      <c r="B99" s="22" t="str">
        <f>Source!F35</f>
        <v>1.23-1-287</v>
      </c>
      <c r="C99" s="22" t="s">
        <v>63</v>
      </c>
      <c r="D99" s="24" t="str">
        <f>Source!H35</f>
        <v>км</v>
      </c>
      <c r="E99" s="23">
        <f>Source!I35</f>
        <v>4.0800000000000003E-2</v>
      </c>
      <c r="F99" s="26">
        <f>Source!AL35</f>
        <v>14007.97</v>
      </c>
      <c r="G99" s="25" t="str">
        <f>Source!DD35</f>
        <v/>
      </c>
      <c r="H99" s="23">
        <f>Source!AW35</f>
        <v>1</v>
      </c>
      <c r="I99" s="27">
        <f>ROUND((ROUND((Source!AC35*Source!AW35*Source!I35),2)),2)</f>
        <v>571.53</v>
      </c>
      <c r="J99" s="23">
        <f>IF(Source!BC35&lt;&gt; 0, Source!BC35, 1)</f>
        <v>7.95</v>
      </c>
      <c r="K99" s="27">
        <f>Source!P35</f>
        <v>4543.66</v>
      </c>
      <c r="Q99">
        <f>ROUND((Source!DN35/100)*ROUND((ROUND((Source!AF35*Source!AV35*Source!I35),2)),2), 2)</f>
        <v>0</v>
      </c>
      <c r="R99">
        <f>Source!X35</f>
        <v>0</v>
      </c>
      <c r="S99">
        <f>ROUND((Source!DO35/100)*ROUND((ROUND((Source!AF35*Source!AV35*Source!I35),2)),2), 2)</f>
        <v>0</v>
      </c>
      <c r="T99">
        <f>Source!Y35</f>
        <v>0</v>
      </c>
      <c r="U99">
        <f>ROUND((175/100)*ROUND((ROUND((Source!AE35*Source!AV35*Source!I35),2)),2), 2)</f>
        <v>0</v>
      </c>
      <c r="V99">
        <f>ROUND((157/100)*ROUND(ROUND((ROUND((Source!AE35*Source!AV35*Source!I35),2)*Source!BS35),2), 2), 2)</f>
        <v>0</v>
      </c>
    </row>
    <row r="100" spans="1:27" ht="12.75" x14ac:dyDescent="0.2">
      <c r="A100" s="41"/>
      <c r="B100" s="41"/>
      <c r="C100" s="42" t="str">
        <f>"Объем: "&amp;Source!I35&amp;"=40*"&amp;"1,02/"&amp;"1000"</f>
        <v>Объем: 0,0408=40*1,02/1000</v>
      </c>
      <c r="D100" s="41"/>
      <c r="E100" s="41"/>
      <c r="F100" s="41"/>
      <c r="G100" s="41"/>
      <c r="H100" s="41"/>
      <c r="I100" s="41"/>
      <c r="J100" s="41"/>
      <c r="K100" s="41"/>
    </row>
    <row r="101" spans="1:27" ht="13.8" x14ac:dyDescent="0.25">
      <c r="A101" s="37"/>
      <c r="B101" s="37"/>
      <c r="C101" s="38" t="s">
        <v>245</v>
      </c>
      <c r="D101" s="37"/>
      <c r="E101" s="37"/>
      <c r="F101" s="37"/>
      <c r="G101" s="37"/>
      <c r="H101" s="54">
        <f>I99</f>
        <v>571.53</v>
      </c>
      <c r="I101" s="54"/>
      <c r="J101" s="54">
        <f>K99</f>
        <v>4543.66</v>
      </c>
      <c r="K101" s="54"/>
      <c r="O101" s="29">
        <f>I99</f>
        <v>571.53</v>
      </c>
      <c r="P101" s="29">
        <f>K99</f>
        <v>4543.66</v>
      </c>
      <c r="X101">
        <f>IF(Source!BI35&lt;=1,I99-0, 0)</f>
        <v>0</v>
      </c>
      <c r="Y101">
        <f>IF(Source!BI35=2,I99-0, 0)</f>
        <v>571.53</v>
      </c>
      <c r="Z101">
        <f>IF(Source!BI35=3,I99-0, 0)</f>
        <v>0</v>
      </c>
      <c r="AA101">
        <f>IF(Source!BI35=4,I99,0)</f>
        <v>0</v>
      </c>
    </row>
    <row r="103" spans="1:27" ht="96.6" x14ac:dyDescent="0.3">
      <c r="A103" s="21" t="str">
        <f>Source!E36</f>
        <v>8</v>
      </c>
      <c r="B103" s="22" t="str">
        <f>Source!F36</f>
        <v>1.23-9-92</v>
      </c>
      <c r="C103" s="22" t="s">
        <v>71</v>
      </c>
      <c r="D103" s="24" t="str">
        <f>Source!H36</f>
        <v>км</v>
      </c>
      <c r="E103" s="23">
        <f>Source!I36</f>
        <v>0.10199999999999999</v>
      </c>
      <c r="F103" s="26">
        <f>Source!AL36</f>
        <v>36414.18</v>
      </c>
      <c r="G103" s="25" t="str">
        <f>Source!DD36</f>
        <v/>
      </c>
      <c r="H103" s="23">
        <f>Source!AW36</f>
        <v>1</v>
      </c>
      <c r="I103" s="27">
        <f>ROUND((ROUND((Source!AC36*Source!AW36*Source!I36),2)),2)</f>
        <v>3714.25</v>
      </c>
      <c r="J103" s="23">
        <f>IF(Source!BC36&lt;&gt; 0, Source!BC36, 1)</f>
        <v>3.64</v>
      </c>
      <c r="K103" s="27">
        <f>Source!P36</f>
        <v>13519.87</v>
      </c>
      <c r="Q103">
        <f>ROUND((Source!DN36/100)*ROUND((ROUND((Source!AF36*Source!AV36*Source!I36),2)),2), 2)</f>
        <v>0</v>
      </c>
      <c r="R103">
        <f>Source!X36</f>
        <v>0</v>
      </c>
      <c r="S103">
        <f>ROUND((Source!DO36/100)*ROUND((ROUND((Source!AF36*Source!AV36*Source!I36),2)),2), 2)</f>
        <v>0</v>
      </c>
      <c r="T103">
        <f>Source!Y36</f>
        <v>0</v>
      </c>
      <c r="U103">
        <f>ROUND((175/100)*ROUND((ROUND((Source!AE36*Source!AV36*Source!I36),2)),2), 2)</f>
        <v>0</v>
      </c>
      <c r="V103">
        <f>ROUND((157/100)*ROUND(ROUND((ROUND((Source!AE36*Source!AV36*Source!I36),2)*Source!BS36),2), 2), 2)</f>
        <v>0</v>
      </c>
    </row>
    <row r="104" spans="1:27" ht="12.75" x14ac:dyDescent="0.2">
      <c r="A104" s="41"/>
      <c r="B104" s="41"/>
      <c r="C104" s="42" t="str">
        <f>"Объем: "&amp;Source!I36&amp;"=100*"&amp;"1,02/"&amp;"1000"</f>
        <v>Объем: 0,102=100*1,02/1000</v>
      </c>
      <c r="D104" s="41"/>
      <c r="E104" s="41"/>
      <c r="F104" s="41"/>
      <c r="G104" s="41"/>
      <c r="H104" s="41"/>
      <c r="I104" s="41"/>
      <c r="J104" s="41"/>
      <c r="K104" s="41"/>
    </row>
    <row r="105" spans="1:27" ht="13.8" x14ac:dyDescent="0.25">
      <c r="A105" s="37"/>
      <c r="B105" s="37"/>
      <c r="C105" s="38" t="s">
        <v>245</v>
      </c>
      <c r="D105" s="37"/>
      <c r="E105" s="37"/>
      <c r="F105" s="37"/>
      <c r="G105" s="37"/>
      <c r="H105" s="54">
        <f>I103</f>
        <v>3714.25</v>
      </c>
      <c r="I105" s="54"/>
      <c r="J105" s="54">
        <f>K103</f>
        <v>13519.87</v>
      </c>
      <c r="K105" s="54"/>
      <c r="O105" s="29">
        <f>I103</f>
        <v>3714.25</v>
      </c>
      <c r="P105" s="29">
        <f>K103</f>
        <v>13519.87</v>
      </c>
      <c r="X105">
        <f>IF(Source!BI36&lt;=1,I103-0, 0)</f>
        <v>0</v>
      </c>
      <c r="Y105">
        <f>IF(Source!BI36=2,I103-0, 0)</f>
        <v>3714.25</v>
      </c>
      <c r="Z105">
        <f>IF(Source!BI36=3,I103-0, 0)</f>
        <v>0</v>
      </c>
      <c r="AA105">
        <f>IF(Source!BI36=4,I103,0)</f>
        <v>0</v>
      </c>
    </row>
    <row r="107" spans="1:27" ht="27.6" x14ac:dyDescent="0.3">
      <c r="A107" s="21" t="str">
        <f>Source!E37</f>
        <v>9</v>
      </c>
      <c r="B107" s="22" t="str">
        <f>Source!F37</f>
        <v>1.21-5-926</v>
      </c>
      <c r="C107" s="22" t="s">
        <v>75</v>
      </c>
      <c r="D107" s="24" t="str">
        <f>Source!H37</f>
        <v>100 шт.</v>
      </c>
      <c r="E107" s="23">
        <f>Source!I37</f>
        <v>4</v>
      </c>
      <c r="F107" s="26">
        <f>Source!AL37</f>
        <v>26.71</v>
      </c>
      <c r="G107" s="25" t="str">
        <f>Source!DD37</f>
        <v/>
      </c>
      <c r="H107" s="23">
        <f>Source!AW37</f>
        <v>1</v>
      </c>
      <c r="I107" s="27">
        <f>ROUND((ROUND((Source!AC37*Source!AW37*Source!I37),2)),2)</f>
        <v>106.84</v>
      </c>
      <c r="J107" s="23">
        <f>IF(Source!BC37&lt;&gt; 0, Source!BC37, 1)</f>
        <v>2.42</v>
      </c>
      <c r="K107" s="27">
        <f>Source!P37</f>
        <v>258.55</v>
      </c>
      <c r="Q107">
        <f>ROUND((Source!DN37/100)*ROUND((ROUND((Source!AF37*Source!AV37*Source!I37),2)),2), 2)</f>
        <v>0</v>
      </c>
      <c r="R107">
        <f>Source!X37</f>
        <v>0</v>
      </c>
      <c r="S107">
        <f>ROUND((Source!DO37/100)*ROUND((ROUND((Source!AF37*Source!AV37*Source!I37),2)),2), 2)</f>
        <v>0</v>
      </c>
      <c r="T107">
        <f>Source!Y37</f>
        <v>0</v>
      </c>
      <c r="U107">
        <f>ROUND((175/100)*ROUND((ROUND((Source!AE37*Source!AV37*Source!I37),2)),2), 2)</f>
        <v>0</v>
      </c>
      <c r="V107">
        <f>ROUND((157/100)*ROUND(ROUND((ROUND((Source!AE37*Source!AV37*Source!I37),2)*Source!BS37),2), 2), 2)</f>
        <v>0</v>
      </c>
    </row>
    <row r="108" spans="1:27" ht="12.75" x14ac:dyDescent="0.2">
      <c r="A108" s="41"/>
      <c r="B108" s="41"/>
      <c r="C108" s="42" t="str">
        <f>"Объем: "&amp;Source!I37&amp;"=400/"&amp;"100"</f>
        <v>Объем: 4=400/100</v>
      </c>
      <c r="D108" s="41"/>
      <c r="E108" s="41"/>
      <c r="F108" s="41"/>
      <c r="G108" s="41"/>
      <c r="H108" s="41"/>
      <c r="I108" s="41"/>
      <c r="J108" s="41"/>
      <c r="K108" s="41"/>
    </row>
    <row r="109" spans="1:27" ht="13.8" x14ac:dyDescent="0.25">
      <c r="A109" s="37"/>
      <c r="B109" s="37"/>
      <c r="C109" s="38" t="s">
        <v>245</v>
      </c>
      <c r="D109" s="37"/>
      <c r="E109" s="37"/>
      <c r="F109" s="37"/>
      <c r="G109" s="37"/>
      <c r="H109" s="54">
        <f>I107</f>
        <v>106.84</v>
      </c>
      <c r="I109" s="54"/>
      <c r="J109" s="54">
        <f>K107</f>
        <v>258.55</v>
      </c>
      <c r="K109" s="54"/>
      <c r="O109" s="29">
        <f>I107</f>
        <v>106.84</v>
      </c>
      <c r="P109" s="29">
        <f>K107</f>
        <v>258.55</v>
      </c>
      <c r="X109">
        <f>IF(Source!BI37&lt;=1,I107-0, 0)</f>
        <v>0</v>
      </c>
      <c r="Y109">
        <f>IF(Source!BI37=2,I107-0, 0)</f>
        <v>106.84</v>
      </c>
      <c r="Z109">
        <f>IF(Source!BI37=3,I107-0, 0)</f>
        <v>0</v>
      </c>
      <c r="AA109">
        <f>IF(Source!BI37=4,I107,0)</f>
        <v>0</v>
      </c>
    </row>
    <row r="111" spans="1:27" ht="55.2" x14ac:dyDescent="0.3">
      <c r="A111" s="21" t="str">
        <f>Source!E38</f>
        <v>10</v>
      </c>
      <c r="B111" s="22" t="str">
        <f>Source!F38</f>
        <v>4.8-187-10</v>
      </c>
      <c r="C111" s="22" t="s">
        <v>80</v>
      </c>
      <c r="D111" s="24" t="str">
        <f>Source!H38</f>
        <v>100 м</v>
      </c>
      <c r="E111" s="23">
        <f>Source!I38</f>
        <v>0.2</v>
      </c>
      <c r="F111" s="26"/>
      <c r="G111" s="25"/>
      <c r="H111" s="23"/>
      <c r="I111" s="27"/>
      <c r="J111" s="23"/>
      <c r="K111" s="27"/>
      <c r="Q111">
        <f>ROUND((Source!DN38/100)*ROUND((ROUND((Source!AF38*Source!AV38*Source!I38),2)),2), 2)</f>
        <v>163.49</v>
      </c>
      <c r="R111">
        <f>Source!X38</f>
        <v>3301.41</v>
      </c>
      <c r="S111">
        <f>ROUND((Source!DO38/100)*ROUND((ROUND((Source!AF38*Source!AV38*Source!I38),2)),2), 2)</f>
        <v>102.18</v>
      </c>
      <c r="T111">
        <f>Source!Y38</f>
        <v>1577.34</v>
      </c>
      <c r="U111">
        <f>ROUND((175/100)*ROUND((ROUND((Source!AE38*Source!AV38*Source!I38),2)),2), 2)</f>
        <v>0.88</v>
      </c>
      <c r="V111">
        <f>ROUND((157/100)*ROUND(ROUND((ROUND((Source!AE38*Source!AV38*Source!I38),2)*Source!BS38),2), 2), 2)</f>
        <v>19.73</v>
      </c>
    </row>
    <row r="112" spans="1:27" x14ac:dyDescent="0.25">
      <c r="C112" s="39" t="str">
        <f>"Объем: "&amp;Source!I38&amp;"=20/"&amp;"100"</f>
        <v>Объем: 0,2=20/100</v>
      </c>
    </row>
    <row r="113" spans="1:28" ht="14.4" x14ac:dyDescent="0.3">
      <c r="A113" s="21"/>
      <c r="B113" s="22"/>
      <c r="C113" s="22" t="s">
        <v>235</v>
      </c>
      <c r="D113" s="24"/>
      <c r="E113" s="23"/>
      <c r="F113" s="26">
        <f>Source!AO38</f>
        <v>495.67</v>
      </c>
      <c r="G113" s="25" t="str">
        <f>Source!DG38</f>
        <v>)*1,2)*1,15</v>
      </c>
      <c r="H113" s="23">
        <f>Source!AV38</f>
        <v>1.0669999999999999</v>
      </c>
      <c r="I113" s="27">
        <f>ROUND((ROUND((Source!AF38*Source!AV38*Source!I38),2)),2)</f>
        <v>145.97</v>
      </c>
      <c r="J113" s="23">
        <f>IF(Source!BA38&lt;&gt; 0, Source!BA38, 1)</f>
        <v>25.13</v>
      </c>
      <c r="K113" s="27">
        <f>Source!S38</f>
        <v>3668.23</v>
      </c>
      <c r="W113">
        <f>I113</f>
        <v>145.97</v>
      </c>
    </row>
    <row r="114" spans="1:28" ht="14.4" x14ac:dyDescent="0.3">
      <c r="A114" s="21"/>
      <c r="B114" s="22"/>
      <c r="C114" s="22" t="s">
        <v>236</v>
      </c>
      <c r="D114" s="24"/>
      <c r="E114" s="23"/>
      <c r="F114" s="26">
        <f>Source!AM38</f>
        <v>28.5</v>
      </c>
      <c r="G114" s="25" t="str">
        <f>Source!DE38</f>
        <v>)*1,2)*1,15</v>
      </c>
      <c r="H114" s="23">
        <f>Source!AV38</f>
        <v>1.0669999999999999</v>
      </c>
      <c r="I114" s="27">
        <f>(ROUND((ROUND(((((Source!ET38*1.2)*1.15))*Source!AV38*Source!I38),2)),2)+ROUND((ROUND(((Source!AE38-(((Source!EU38*1.2)*1.15)))*Source!AV38*Source!I38),2)),2))</f>
        <v>8.39</v>
      </c>
      <c r="J114" s="23">
        <f>IF(Source!BB38&lt;&gt; 0, Source!BB38, 1)</f>
        <v>6.94</v>
      </c>
      <c r="K114" s="27">
        <f>Source!Q38</f>
        <v>58.23</v>
      </c>
    </row>
    <row r="115" spans="1:28" ht="14.4" x14ac:dyDescent="0.3">
      <c r="A115" s="21"/>
      <c r="B115" s="22"/>
      <c r="C115" s="22" t="s">
        <v>237</v>
      </c>
      <c r="D115" s="24"/>
      <c r="E115" s="23"/>
      <c r="F115" s="26">
        <f>Source!AN38</f>
        <v>1.69</v>
      </c>
      <c r="G115" s="25" t="str">
        <f>Source!DF38</f>
        <v>)*1,2)*1,15</v>
      </c>
      <c r="H115" s="23">
        <f>Source!AV38</f>
        <v>1.0669999999999999</v>
      </c>
      <c r="I115" s="28">
        <f>ROUND((ROUND((Source!AE38*Source!AV38*Source!I38),2)),2)</f>
        <v>0.5</v>
      </c>
      <c r="J115" s="23">
        <f>IF(Source!BS38&lt;&gt; 0, Source!BS38, 1)</f>
        <v>25.13</v>
      </c>
      <c r="K115" s="28">
        <f>Source!R38</f>
        <v>12.57</v>
      </c>
      <c r="W115">
        <f>I115</f>
        <v>0.5</v>
      </c>
    </row>
    <row r="116" spans="1:28" ht="14.4" x14ac:dyDescent="0.3">
      <c r="A116" s="21"/>
      <c r="B116" s="22"/>
      <c r="C116" s="22" t="s">
        <v>238</v>
      </c>
      <c r="D116" s="24"/>
      <c r="E116" s="23"/>
      <c r="F116" s="26">
        <f>Source!AL38</f>
        <v>68.81</v>
      </c>
      <c r="G116" s="25" t="str">
        <f>Source!DD38</f>
        <v/>
      </c>
      <c r="H116" s="23">
        <f>Source!AW38</f>
        <v>1.081</v>
      </c>
      <c r="I116" s="27">
        <f>ROUND((ROUND((Source!AC38*Source!AW38*Source!I38),2)),2)</f>
        <v>14.88</v>
      </c>
      <c r="J116" s="23">
        <f>IF(Source!BC38&lt;&gt; 0, Source!BC38, 1)</f>
        <v>6.17</v>
      </c>
      <c r="K116" s="27">
        <f>Source!P38</f>
        <v>91.81</v>
      </c>
    </row>
    <row r="117" spans="1:28" ht="14.4" x14ac:dyDescent="0.3">
      <c r="A117" s="21"/>
      <c r="B117" s="22"/>
      <c r="C117" s="22" t="s">
        <v>239</v>
      </c>
      <c r="D117" s="24" t="s">
        <v>240</v>
      </c>
      <c r="E117" s="23">
        <f>Source!DN38</f>
        <v>112</v>
      </c>
      <c r="F117" s="26"/>
      <c r="G117" s="25"/>
      <c r="H117" s="23"/>
      <c r="I117" s="27">
        <f>SUM(Q111:Q116)</f>
        <v>163.49</v>
      </c>
      <c r="J117" s="23">
        <f>Source!BZ38</f>
        <v>90</v>
      </c>
      <c r="K117" s="27">
        <f>SUM(R111:R116)</f>
        <v>3301.41</v>
      </c>
    </row>
    <row r="118" spans="1:28" ht="14.4" x14ac:dyDescent="0.3">
      <c r="A118" s="21"/>
      <c r="B118" s="22"/>
      <c r="C118" s="22" t="s">
        <v>241</v>
      </c>
      <c r="D118" s="24" t="s">
        <v>240</v>
      </c>
      <c r="E118" s="23">
        <f>Source!DO38</f>
        <v>70</v>
      </c>
      <c r="F118" s="26"/>
      <c r="G118" s="25"/>
      <c r="H118" s="23"/>
      <c r="I118" s="27">
        <f>SUM(S111:S117)</f>
        <v>102.18</v>
      </c>
      <c r="J118" s="23">
        <f>Source!CA38</f>
        <v>43</v>
      </c>
      <c r="K118" s="27">
        <f>SUM(T111:T117)</f>
        <v>1577.34</v>
      </c>
    </row>
    <row r="119" spans="1:28" ht="14.4" x14ac:dyDescent="0.3">
      <c r="A119" s="21"/>
      <c r="B119" s="22"/>
      <c r="C119" s="22" t="s">
        <v>242</v>
      </c>
      <c r="D119" s="24" t="s">
        <v>240</v>
      </c>
      <c r="E119" s="23">
        <f>175</f>
        <v>175</v>
      </c>
      <c r="F119" s="26"/>
      <c r="G119" s="25"/>
      <c r="H119" s="23"/>
      <c r="I119" s="27">
        <f>SUM(U111:U118)</f>
        <v>0.88</v>
      </c>
      <c r="J119" s="23">
        <f>157</f>
        <v>157</v>
      </c>
      <c r="K119" s="27">
        <f>SUM(V111:V118)</f>
        <v>19.73</v>
      </c>
    </row>
    <row r="120" spans="1:28" ht="14.4" x14ac:dyDescent="0.3">
      <c r="A120" s="30"/>
      <c r="B120" s="31"/>
      <c r="C120" s="31" t="s">
        <v>243</v>
      </c>
      <c r="D120" s="32" t="s">
        <v>244</v>
      </c>
      <c r="E120" s="33">
        <f>Source!AQ38</f>
        <v>40.200000000000003</v>
      </c>
      <c r="F120" s="34"/>
      <c r="G120" s="35" t="str">
        <f>Source!DI38</f>
        <v>)*1,2)*1,15</v>
      </c>
      <c r="H120" s="33">
        <f>Source!AV38</f>
        <v>1.0669999999999999</v>
      </c>
      <c r="I120" s="36">
        <f>Source!U38</f>
        <v>11.838578399999999</v>
      </c>
      <c r="J120" s="33"/>
      <c r="K120" s="36"/>
      <c r="AB120" s="29">
        <f>I120</f>
        <v>11.838578399999999</v>
      </c>
    </row>
    <row r="121" spans="1:28" ht="13.8" x14ac:dyDescent="0.25">
      <c r="A121" s="37"/>
      <c r="B121" s="37"/>
      <c r="C121" s="38" t="s">
        <v>245</v>
      </c>
      <c r="D121" s="37"/>
      <c r="E121" s="37"/>
      <c r="F121" s="37"/>
      <c r="G121" s="37"/>
      <c r="H121" s="54">
        <f>I113+I114+I116+I117+I118+I119</f>
        <v>435.79</v>
      </c>
      <c r="I121" s="54"/>
      <c r="J121" s="54">
        <f>K113+K114+K116+K117+K118+K119</f>
        <v>8716.75</v>
      </c>
      <c r="K121" s="54"/>
      <c r="O121" s="29">
        <f>I113+I114+I116+I117+I118+I119</f>
        <v>435.79</v>
      </c>
      <c r="P121" s="29">
        <f>K113+K114+K116+K117+K118+K119</f>
        <v>8716.75</v>
      </c>
      <c r="X121">
        <f>IF(Source!BI38&lt;=1,I113+I114+I116+I117+I118+I119-0, 0)</f>
        <v>0</v>
      </c>
      <c r="Y121">
        <f>IF(Source!BI38=2,I113+I114+I116+I117+I118+I119-0, 0)</f>
        <v>435.79</v>
      </c>
      <c r="Z121">
        <f>IF(Source!BI38=3,I113+I114+I116+I117+I118+I119-0, 0)</f>
        <v>0</v>
      </c>
      <c r="AA121">
        <f>IF(Source!BI38=4,I113+I114+I116+I117+I118+I119,0)</f>
        <v>0</v>
      </c>
    </row>
    <row r="123" spans="1:28" ht="69" x14ac:dyDescent="0.3">
      <c r="A123" s="21" t="str">
        <f>Source!E39</f>
        <v>11</v>
      </c>
      <c r="B123" s="22" t="str">
        <f>Source!F39</f>
        <v>1.23-13-202</v>
      </c>
      <c r="C123" s="22" t="s">
        <v>86</v>
      </c>
      <c r="D123" s="24" t="str">
        <f>Source!H39</f>
        <v>км</v>
      </c>
      <c r="E123" s="23">
        <f>Source!I39</f>
        <v>2.06E-2</v>
      </c>
      <c r="F123" s="26">
        <f>Source!AL39</f>
        <v>6070.27</v>
      </c>
      <c r="G123" s="25" t="str">
        <f>Source!DD39</f>
        <v/>
      </c>
      <c r="H123" s="23">
        <f>Source!AW39</f>
        <v>1</v>
      </c>
      <c r="I123" s="27">
        <f>ROUND((ROUND((Source!AC39*Source!AW39*Source!I39),2)),2)</f>
        <v>125.05</v>
      </c>
      <c r="J123" s="23">
        <f>IF(Source!BC39&lt;&gt; 0, Source!BC39, 1)</f>
        <v>7.03</v>
      </c>
      <c r="K123" s="27">
        <f>Source!P39</f>
        <v>879.1</v>
      </c>
      <c r="Q123">
        <f>ROUND((Source!DN39/100)*ROUND((ROUND((Source!AF39*Source!AV39*Source!I39),2)),2), 2)</f>
        <v>0</v>
      </c>
      <c r="R123">
        <f>Source!X39</f>
        <v>0</v>
      </c>
      <c r="S123">
        <f>ROUND((Source!DO39/100)*ROUND((ROUND((Source!AF39*Source!AV39*Source!I39),2)),2), 2)</f>
        <v>0</v>
      </c>
      <c r="T123">
        <f>Source!Y39</f>
        <v>0</v>
      </c>
      <c r="U123">
        <f>ROUND((175/100)*ROUND((ROUND((Source!AE39*Source!AV39*Source!I39),2)),2), 2)</f>
        <v>0</v>
      </c>
      <c r="V123">
        <f>ROUND((157/100)*ROUND(ROUND((ROUND((Source!AE39*Source!AV39*Source!I39),2)*Source!BS39),2), 2), 2)</f>
        <v>0</v>
      </c>
    </row>
    <row r="124" spans="1:28" ht="12.75" x14ac:dyDescent="0.2">
      <c r="A124" s="41"/>
      <c r="B124" s="41"/>
      <c r="C124" s="42" t="str">
        <f>"Объем: "&amp;Source!I39&amp;"=20*"&amp;"1,03/"&amp;"1000"</f>
        <v>Объем: 0,0206=20*1,03/1000</v>
      </c>
      <c r="D124" s="41"/>
      <c r="E124" s="41"/>
      <c r="F124" s="41"/>
      <c r="G124" s="41"/>
      <c r="H124" s="41"/>
      <c r="I124" s="41"/>
      <c r="J124" s="41"/>
      <c r="K124" s="41"/>
    </row>
    <row r="125" spans="1:28" ht="13.8" x14ac:dyDescent="0.25">
      <c r="A125" s="37"/>
      <c r="B125" s="37"/>
      <c r="C125" s="38" t="s">
        <v>245</v>
      </c>
      <c r="D125" s="37"/>
      <c r="E125" s="37"/>
      <c r="F125" s="37"/>
      <c r="G125" s="37"/>
      <c r="H125" s="54">
        <f>I123</f>
        <v>125.05</v>
      </c>
      <c r="I125" s="54"/>
      <c r="J125" s="54">
        <f>K123</f>
        <v>879.1</v>
      </c>
      <c r="K125" s="54"/>
      <c r="O125" s="29">
        <f>I123</f>
        <v>125.05</v>
      </c>
      <c r="P125" s="29">
        <f>K123</f>
        <v>879.1</v>
      </c>
      <c r="X125">
        <f>IF(Source!BI39&lt;=1,I123-0, 0)</f>
        <v>0</v>
      </c>
      <c r="Y125">
        <f>IF(Source!BI39=2,I123-0, 0)</f>
        <v>125.05</v>
      </c>
      <c r="Z125">
        <f>IF(Source!BI39=3,I123-0, 0)</f>
        <v>0</v>
      </c>
      <c r="AA125">
        <f>IF(Source!BI39=4,I123,0)</f>
        <v>0</v>
      </c>
    </row>
    <row r="127" spans="1:28" ht="27.6" x14ac:dyDescent="0.3">
      <c r="A127" s="30" t="str">
        <f>Source!E40</f>
        <v>12</v>
      </c>
      <c r="B127" s="31" t="str">
        <f>Source!F40</f>
        <v>1.21-5-737</v>
      </c>
      <c r="C127" s="31" t="s">
        <v>90</v>
      </c>
      <c r="D127" s="32" t="str">
        <f>Source!H40</f>
        <v>шт.</v>
      </c>
      <c r="E127" s="33">
        <f>Source!I40</f>
        <v>10</v>
      </c>
      <c r="F127" s="34">
        <f>Source!AL40</f>
        <v>3.9</v>
      </c>
      <c r="G127" s="35" t="str">
        <f>Source!DD40</f>
        <v/>
      </c>
      <c r="H127" s="33">
        <f>Source!AW40</f>
        <v>1</v>
      </c>
      <c r="I127" s="36">
        <f>ROUND((ROUND((Source!AC40*Source!AW40*Source!I40),2)),2)</f>
        <v>39</v>
      </c>
      <c r="J127" s="33">
        <f>IF(Source!BC40&lt;&gt; 0, Source!BC40, 1)</f>
        <v>2.96</v>
      </c>
      <c r="K127" s="36">
        <f>Source!P40</f>
        <v>115.44</v>
      </c>
      <c r="Q127">
        <f>ROUND((Source!DN40/100)*ROUND((ROUND((Source!AF40*Source!AV40*Source!I40),2)),2), 2)</f>
        <v>0</v>
      </c>
      <c r="R127">
        <f>Source!X40</f>
        <v>0</v>
      </c>
      <c r="S127">
        <f>ROUND((Source!DO40/100)*ROUND((ROUND((Source!AF40*Source!AV40*Source!I40),2)),2), 2)</f>
        <v>0</v>
      </c>
      <c r="T127">
        <f>Source!Y40</f>
        <v>0</v>
      </c>
      <c r="U127">
        <f>ROUND((175/100)*ROUND((ROUND((Source!AE40*Source!AV40*Source!I40),2)),2), 2)</f>
        <v>0</v>
      </c>
      <c r="V127">
        <f>ROUND((157/100)*ROUND(ROUND((ROUND((Source!AE40*Source!AV40*Source!I40),2)*Source!BS40),2), 2), 2)</f>
        <v>0</v>
      </c>
    </row>
    <row r="128" spans="1:28" ht="13.8" x14ac:dyDescent="0.25">
      <c r="A128" s="37"/>
      <c r="B128" s="37"/>
      <c r="C128" s="38" t="s">
        <v>245</v>
      </c>
      <c r="D128" s="37"/>
      <c r="E128" s="37"/>
      <c r="F128" s="37"/>
      <c r="G128" s="37"/>
      <c r="H128" s="54">
        <f>I127</f>
        <v>39</v>
      </c>
      <c r="I128" s="54"/>
      <c r="J128" s="54">
        <f>K127</f>
        <v>115.44</v>
      </c>
      <c r="K128" s="54"/>
      <c r="O128" s="29">
        <f>I127</f>
        <v>39</v>
      </c>
      <c r="P128" s="29">
        <f>K127</f>
        <v>115.44</v>
      </c>
      <c r="X128">
        <f>IF(Source!BI40&lt;=1,I127-0, 0)</f>
        <v>0</v>
      </c>
      <c r="Y128">
        <f>IF(Source!BI40=2,I127-0, 0)</f>
        <v>39</v>
      </c>
      <c r="Z128">
        <f>IF(Source!BI40=3,I127-0, 0)</f>
        <v>0</v>
      </c>
      <c r="AA128">
        <f>IF(Source!BI40=4,I127,0)</f>
        <v>0</v>
      </c>
    </row>
    <row r="131" spans="1:27" ht="15" x14ac:dyDescent="0.25">
      <c r="A131" s="51" t="str">
        <f>CONCATENATE("Итого по разделу: ",IF(Source!G42&lt;&gt;"Новый раздел", Source!G42, ""))</f>
        <v>Итого по разделу: Монтажные работы и материалы</v>
      </c>
      <c r="B131" s="51"/>
      <c r="C131" s="51"/>
      <c r="D131" s="51"/>
      <c r="E131" s="51"/>
      <c r="F131" s="51"/>
      <c r="G131" s="51"/>
      <c r="H131" s="49">
        <f>SUM(O29:O130)</f>
        <v>17862.54</v>
      </c>
      <c r="I131" s="50"/>
      <c r="J131" s="49">
        <f>SUM(P29:P130)</f>
        <v>227911.18999999994</v>
      </c>
      <c r="K131" s="50"/>
    </row>
    <row r="132" spans="1:27" ht="12.75" hidden="1" x14ac:dyDescent="0.2">
      <c r="A132" t="s">
        <v>246</v>
      </c>
      <c r="I132">
        <f>SUM(AC29:AC131)</f>
        <v>0</v>
      </c>
      <c r="J132">
        <f>SUM(AD29:AD131)</f>
        <v>0</v>
      </c>
    </row>
    <row r="133" spans="1:27" hidden="1" x14ac:dyDescent="0.25">
      <c r="A133" t="s">
        <v>247</v>
      </c>
      <c r="I133">
        <f>SUM(AE29:AE132)</f>
        <v>0</v>
      </c>
      <c r="J133">
        <f>SUM(AF29:AF132)</f>
        <v>0</v>
      </c>
    </row>
    <row r="135" spans="1:27" ht="16.8" x14ac:dyDescent="0.3">
      <c r="A135" s="53" t="str">
        <f>CONCATENATE("Раздел: ",IF(Source!G72&lt;&gt;"Новый раздел", Source!G72, ""))</f>
        <v>Раздел: Оборудование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</row>
    <row r="136" spans="1:27" ht="96.75" x14ac:dyDescent="0.2">
      <c r="A136" s="30" t="str">
        <f>Source!E77</f>
        <v>14</v>
      </c>
      <c r="B136" s="31" t="str">
        <f>Source!F77</f>
        <v>Прайс</v>
      </c>
      <c r="C136" s="31" t="s">
        <v>248</v>
      </c>
      <c r="D136" s="32" t="str">
        <f>Source!H77</f>
        <v>ШТ</v>
      </c>
      <c r="E136" s="33">
        <f>Source!I77</f>
        <v>1</v>
      </c>
      <c r="F136" s="34">
        <f>Source!AL77</f>
        <v>2670.55</v>
      </c>
      <c r="G136" s="35" t="str">
        <f>Source!DD77</f>
        <v/>
      </c>
      <c r="H136" s="33">
        <f>Source!AW77</f>
        <v>1</v>
      </c>
      <c r="I136" s="36">
        <f>ROUND((ROUND((Source!AC77*Source!AW77*Source!I77),2)),2)</f>
        <v>2670.55</v>
      </c>
      <c r="J136" s="33">
        <f>IF(Source!BC77&lt;&gt; 0, Source!BC77, 1)</f>
        <v>4.7699999999999996</v>
      </c>
      <c r="K136" s="36">
        <f>Source!P77</f>
        <v>12738.52</v>
      </c>
      <c r="Q136">
        <f>ROUND((Source!DN77/100)*ROUND((ROUND((Source!AF77*Source!AV77*Source!I77),2)),2), 2)</f>
        <v>0</v>
      </c>
      <c r="R136">
        <f>Source!X77</f>
        <v>0</v>
      </c>
      <c r="S136">
        <f>ROUND((Source!DO77/100)*ROUND((ROUND((Source!AF77*Source!AV77*Source!I77),2)),2), 2)</f>
        <v>0</v>
      </c>
      <c r="T136">
        <f>Source!Y77</f>
        <v>0</v>
      </c>
      <c r="U136">
        <f>ROUND((175/100)*ROUND((ROUND((Source!AE77*Source!AV77*Source!I77),2)),2), 2)</f>
        <v>0</v>
      </c>
      <c r="V136">
        <f>ROUND((157/100)*ROUND(ROUND((ROUND((Source!AE77*Source!AV77*Source!I77),2)*Source!BS77),2), 2), 2)</f>
        <v>0</v>
      </c>
    </row>
    <row r="137" spans="1:27" ht="13.8" x14ac:dyDescent="0.25">
      <c r="A137" s="37"/>
      <c r="B137" s="37"/>
      <c r="C137" s="38" t="s">
        <v>245</v>
      </c>
      <c r="D137" s="37"/>
      <c r="E137" s="37"/>
      <c r="F137" s="37"/>
      <c r="G137" s="37"/>
      <c r="H137" s="54">
        <f>I136</f>
        <v>2670.55</v>
      </c>
      <c r="I137" s="54"/>
      <c r="J137" s="54">
        <f>K136</f>
        <v>12738.52</v>
      </c>
      <c r="K137" s="54"/>
      <c r="O137" s="29">
        <f>I136</f>
        <v>2670.55</v>
      </c>
      <c r="P137" s="29">
        <f>K136</f>
        <v>12738.52</v>
      </c>
      <c r="X137">
        <f>IF(Source!BI77&lt;=1,I136-0, 0)</f>
        <v>0</v>
      </c>
      <c r="Y137">
        <f>IF(Source!BI77=2,I136-0, 0)</f>
        <v>0</v>
      </c>
      <c r="Z137">
        <f>IF(Source!BI77=3,I136-0, 0)</f>
        <v>2670.55</v>
      </c>
      <c r="AA137">
        <f>IF(Source!BI77=4,I136,0)</f>
        <v>0</v>
      </c>
    </row>
    <row r="139" spans="1:27" ht="54" x14ac:dyDescent="0.3">
      <c r="A139" s="30" t="str">
        <f>Source!E78</f>
        <v>15</v>
      </c>
      <c r="B139" s="31" t="str">
        <f>Source!F78</f>
        <v>Прайс</v>
      </c>
      <c r="C139" s="31" t="s">
        <v>249</v>
      </c>
      <c r="D139" s="32" t="str">
        <f>Source!H78</f>
        <v>ШТ</v>
      </c>
      <c r="E139" s="33">
        <f>Source!I78</f>
        <v>1</v>
      </c>
      <c r="F139" s="34">
        <f>Source!AL78</f>
        <v>119.38</v>
      </c>
      <c r="G139" s="35" t="str">
        <f>Source!DD78</f>
        <v/>
      </c>
      <c r="H139" s="33">
        <f>Source!AW78</f>
        <v>1</v>
      </c>
      <c r="I139" s="36">
        <f>ROUND((ROUND((Source!AC78*Source!AW78*Source!I78),2)),2)</f>
        <v>119.38</v>
      </c>
      <c r="J139" s="33">
        <f>IF(Source!BC78&lt;&gt; 0, Source!BC78, 1)</f>
        <v>4.7699999999999996</v>
      </c>
      <c r="K139" s="36">
        <f>Source!P78</f>
        <v>569.44000000000005</v>
      </c>
      <c r="Q139">
        <f>ROUND((Source!DN78/100)*ROUND((ROUND((Source!AF78*Source!AV78*Source!I78),2)),2), 2)</f>
        <v>0</v>
      </c>
      <c r="R139">
        <f>Source!X78</f>
        <v>0</v>
      </c>
      <c r="S139">
        <f>ROUND((Source!DO78/100)*ROUND((ROUND((Source!AF78*Source!AV78*Source!I78),2)),2), 2)</f>
        <v>0</v>
      </c>
      <c r="T139">
        <f>Source!Y78</f>
        <v>0</v>
      </c>
      <c r="U139">
        <f>ROUND((175/100)*ROUND((ROUND((Source!AE78*Source!AV78*Source!I78),2)),2), 2)</f>
        <v>0</v>
      </c>
      <c r="V139">
        <f>ROUND((157/100)*ROUND(ROUND((ROUND((Source!AE78*Source!AV78*Source!I78),2)*Source!BS78),2), 2), 2)</f>
        <v>0</v>
      </c>
    </row>
    <row r="140" spans="1:27" ht="15" x14ac:dyDescent="0.25">
      <c r="A140" s="37"/>
      <c r="B140" s="37"/>
      <c r="C140" s="38" t="s">
        <v>245</v>
      </c>
      <c r="D140" s="37"/>
      <c r="E140" s="37"/>
      <c r="F140" s="37"/>
      <c r="G140" s="37"/>
      <c r="H140" s="54">
        <f>I139</f>
        <v>119.38</v>
      </c>
      <c r="I140" s="54"/>
      <c r="J140" s="54">
        <f>K139</f>
        <v>569.44000000000005</v>
      </c>
      <c r="K140" s="54"/>
      <c r="O140" s="29">
        <f>I139</f>
        <v>119.38</v>
      </c>
      <c r="P140" s="29">
        <f>K139</f>
        <v>569.44000000000005</v>
      </c>
      <c r="X140">
        <f>IF(Source!BI78&lt;=1,I139-0, 0)</f>
        <v>0</v>
      </c>
      <c r="Y140">
        <f>IF(Source!BI78=2,I139-0, 0)</f>
        <v>0</v>
      </c>
      <c r="Z140">
        <f>IF(Source!BI78=3,I139-0, 0)</f>
        <v>119.38</v>
      </c>
      <c r="AA140">
        <f>IF(Source!BI78=4,I139,0)</f>
        <v>0</v>
      </c>
    </row>
    <row r="142" spans="1:27" ht="54" x14ac:dyDescent="0.3">
      <c r="A142" s="30" t="str">
        <f>Source!E79</f>
        <v>16</v>
      </c>
      <c r="B142" s="31" t="str">
        <f>Source!F79</f>
        <v>Прайс</v>
      </c>
      <c r="C142" s="31" t="s">
        <v>250</v>
      </c>
      <c r="D142" s="32" t="str">
        <f>Source!H79</f>
        <v>ШТ</v>
      </c>
      <c r="E142" s="33">
        <f>Source!I79</f>
        <v>1</v>
      </c>
      <c r="F142" s="34">
        <f>Source!AL79</f>
        <v>94.350000000000009</v>
      </c>
      <c r="G142" s="35" t="str">
        <f>Source!DD79</f>
        <v/>
      </c>
      <c r="H142" s="33">
        <f>Source!AW79</f>
        <v>1</v>
      </c>
      <c r="I142" s="36">
        <f>ROUND((ROUND((Source!AC79*Source!AW79*Source!I79),2)),2)</f>
        <v>94.35</v>
      </c>
      <c r="J142" s="33">
        <f>IF(Source!BC79&lt;&gt; 0, Source!BC79, 1)</f>
        <v>4.7699999999999996</v>
      </c>
      <c r="K142" s="36">
        <f>Source!P79</f>
        <v>450.05</v>
      </c>
      <c r="Q142">
        <f>ROUND((Source!DN79/100)*ROUND((ROUND((Source!AF79*Source!AV79*Source!I79),2)),2), 2)</f>
        <v>0</v>
      </c>
      <c r="R142">
        <f>Source!X79</f>
        <v>0</v>
      </c>
      <c r="S142">
        <f>ROUND((Source!DO79/100)*ROUND((ROUND((Source!AF79*Source!AV79*Source!I79),2)),2), 2)</f>
        <v>0</v>
      </c>
      <c r="T142">
        <f>Source!Y79</f>
        <v>0</v>
      </c>
      <c r="U142">
        <f>ROUND((175/100)*ROUND((ROUND((Source!AE79*Source!AV79*Source!I79),2)),2), 2)</f>
        <v>0</v>
      </c>
      <c r="V142">
        <f>ROUND((157/100)*ROUND(ROUND((ROUND((Source!AE79*Source!AV79*Source!I79),2)*Source!BS79),2), 2), 2)</f>
        <v>0</v>
      </c>
    </row>
    <row r="143" spans="1:27" ht="13.8" x14ac:dyDescent="0.25">
      <c r="A143" s="37"/>
      <c r="B143" s="37"/>
      <c r="C143" s="38" t="s">
        <v>245</v>
      </c>
      <c r="D143" s="37"/>
      <c r="E143" s="37"/>
      <c r="F143" s="37"/>
      <c r="G143" s="37"/>
      <c r="H143" s="54">
        <f>I142</f>
        <v>94.35</v>
      </c>
      <c r="I143" s="54"/>
      <c r="J143" s="54">
        <f>K142</f>
        <v>450.05</v>
      </c>
      <c r="K143" s="54"/>
      <c r="O143" s="29">
        <f>I142</f>
        <v>94.35</v>
      </c>
      <c r="P143" s="29">
        <f>K142</f>
        <v>450.05</v>
      </c>
      <c r="X143">
        <f>IF(Source!BI79&lt;=1,I142-0, 0)</f>
        <v>0</v>
      </c>
      <c r="Y143">
        <f>IF(Source!BI79=2,I142-0, 0)</f>
        <v>0</v>
      </c>
      <c r="Z143">
        <f>IF(Source!BI79=3,I142-0, 0)</f>
        <v>94.35</v>
      </c>
      <c r="AA143">
        <f>IF(Source!BI79=4,I142,0)</f>
        <v>0</v>
      </c>
    </row>
    <row r="145" spans="1:27" ht="95.4" x14ac:dyDescent="0.3">
      <c r="A145" s="30" t="str">
        <f>Source!E81</f>
        <v>18</v>
      </c>
      <c r="B145" s="31" t="str">
        <f>Source!F81</f>
        <v>Прайс</v>
      </c>
      <c r="C145" s="31" t="s">
        <v>248</v>
      </c>
      <c r="D145" s="32" t="str">
        <f>Source!H81</f>
        <v>ШТ</v>
      </c>
      <c r="E145" s="33">
        <f>Source!I81</f>
        <v>1</v>
      </c>
      <c r="F145" s="34">
        <f>Source!AL81</f>
        <v>2670.55</v>
      </c>
      <c r="G145" s="35" t="str">
        <f>Source!DD81</f>
        <v/>
      </c>
      <c r="H145" s="33">
        <f>Source!AW81</f>
        <v>1</v>
      </c>
      <c r="I145" s="36">
        <f>ROUND((ROUND((Source!AC81*Source!AW81*Source!I81),2)),2)</f>
        <v>2670.55</v>
      </c>
      <c r="J145" s="33">
        <f>IF(Source!BC81&lt;&gt; 0, Source!BC81, 1)</f>
        <v>4.7699999999999996</v>
      </c>
      <c r="K145" s="36">
        <f>Source!P81</f>
        <v>12738.52</v>
      </c>
      <c r="Q145">
        <f>ROUND((Source!DN81/100)*ROUND((ROUND((Source!AF81*Source!AV81*Source!I81),2)),2), 2)</f>
        <v>0</v>
      </c>
      <c r="R145">
        <f>Source!X81</f>
        <v>0</v>
      </c>
      <c r="S145">
        <f>ROUND((Source!DO81/100)*ROUND((ROUND((Source!AF81*Source!AV81*Source!I81),2)),2), 2)</f>
        <v>0</v>
      </c>
      <c r="T145">
        <f>Source!Y81</f>
        <v>0</v>
      </c>
      <c r="U145">
        <f>ROUND((175/100)*ROUND((ROUND((Source!AE81*Source!AV81*Source!I81),2)),2), 2)</f>
        <v>0</v>
      </c>
      <c r="V145">
        <f>ROUND((157/100)*ROUND(ROUND((ROUND((Source!AE81*Source!AV81*Source!I81),2)*Source!BS81),2), 2), 2)</f>
        <v>0</v>
      </c>
    </row>
    <row r="146" spans="1:27" ht="15" x14ac:dyDescent="0.25">
      <c r="A146" s="37"/>
      <c r="B146" s="37"/>
      <c r="C146" s="38" t="s">
        <v>245</v>
      </c>
      <c r="D146" s="37"/>
      <c r="E146" s="37"/>
      <c r="F146" s="37"/>
      <c r="G146" s="37"/>
      <c r="H146" s="54">
        <f>I145</f>
        <v>2670.55</v>
      </c>
      <c r="I146" s="54"/>
      <c r="J146" s="54">
        <f>K145</f>
        <v>12738.52</v>
      </c>
      <c r="K146" s="54"/>
      <c r="O146" s="29">
        <f>I145</f>
        <v>2670.55</v>
      </c>
      <c r="P146" s="29">
        <f>K145</f>
        <v>12738.52</v>
      </c>
      <c r="X146">
        <f>IF(Source!BI81&lt;=1,I145-0, 0)</f>
        <v>0</v>
      </c>
      <c r="Y146">
        <f>IF(Source!BI81=2,I145-0, 0)</f>
        <v>0</v>
      </c>
      <c r="Z146">
        <f>IF(Source!BI81=3,I145-0, 0)</f>
        <v>2670.55</v>
      </c>
      <c r="AA146">
        <f>IF(Source!BI81=4,I145,0)</f>
        <v>0</v>
      </c>
    </row>
    <row r="148" spans="1:27" ht="54" x14ac:dyDescent="0.3">
      <c r="A148" s="30" t="str">
        <f>Source!E82</f>
        <v>19</v>
      </c>
      <c r="B148" s="31" t="str">
        <f>Source!F82</f>
        <v>Прайс</v>
      </c>
      <c r="C148" s="31" t="s">
        <v>249</v>
      </c>
      <c r="D148" s="32" t="str">
        <f>Source!H82</f>
        <v>ШТ</v>
      </c>
      <c r="E148" s="33">
        <f>Source!I82</f>
        <v>1</v>
      </c>
      <c r="F148" s="34">
        <f>Source!AL82</f>
        <v>119.38</v>
      </c>
      <c r="G148" s="35" t="str">
        <f>Source!DD82</f>
        <v/>
      </c>
      <c r="H148" s="33">
        <f>Source!AW82</f>
        <v>1</v>
      </c>
      <c r="I148" s="36">
        <f>ROUND((ROUND((Source!AC82*Source!AW82*Source!I82),2)),2)</f>
        <v>119.38</v>
      </c>
      <c r="J148" s="33">
        <f>IF(Source!BC82&lt;&gt; 0, Source!BC82, 1)</f>
        <v>4.7699999999999996</v>
      </c>
      <c r="K148" s="36">
        <f>Source!P82</f>
        <v>569.44000000000005</v>
      </c>
      <c r="Q148">
        <f>ROUND((Source!DN82/100)*ROUND((ROUND((Source!AF82*Source!AV82*Source!I82),2)),2), 2)</f>
        <v>0</v>
      </c>
      <c r="R148">
        <f>Source!X82</f>
        <v>0</v>
      </c>
      <c r="S148">
        <f>ROUND((Source!DO82/100)*ROUND((ROUND((Source!AF82*Source!AV82*Source!I82),2)),2), 2)</f>
        <v>0</v>
      </c>
      <c r="T148">
        <f>Source!Y82</f>
        <v>0</v>
      </c>
      <c r="U148">
        <f>ROUND((175/100)*ROUND((ROUND((Source!AE82*Source!AV82*Source!I82),2)),2), 2)</f>
        <v>0</v>
      </c>
      <c r="V148">
        <f>ROUND((157/100)*ROUND(ROUND((ROUND((Source!AE82*Source!AV82*Source!I82),2)*Source!BS82),2), 2), 2)</f>
        <v>0</v>
      </c>
    </row>
    <row r="149" spans="1:27" ht="15" x14ac:dyDescent="0.25">
      <c r="A149" s="37"/>
      <c r="B149" s="37"/>
      <c r="C149" s="38" t="s">
        <v>245</v>
      </c>
      <c r="D149" s="37"/>
      <c r="E149" s="37"/>
      <c r="F149" s="37"/>
      <c r="G149" s="37"/>
      <c r="H149" s="54">
        <f>I148</f>
        <v>119.38</v>
      </c>
      <c r="I149" s="54"/>
      <c r="J149" s="54">
        <f>K148</f>
        <v>569.44000000000005</v>
      </c>
      <c r="K149" s="54"/>
      <c r="O149" s="29">
        <f>I148</f>
        <v>119.38</v>
      </c>
      <c r="P149" s="29">
        <f>K148</f>
        <v>569.44000000000005</v>
      </c>
      <c r="X149">
        <f>IF(Source!BI82&lt;=1,I148-0, 0)</f>
        <v>0</v>
      </c>
      <c r="Y149">
        <f>IF(Source!BI82=2,I148-0, 0)</f>
        <v>0</v>
      </c>
      <c r="Z149">
        <f>IF(Source!BI82=3,I148-0, 0)</f>
        <v>119.38</v>
      </c>
      <c r="AA149">
        <f>IF(Source!BI82=4,I148,0)</f>
        <v>0</v>
      </c>
    </row>
    <row r="151" spans="1:27" ht="67.8" x14ac:dyDescent="0.3">
      <c r="A151" s="30" t="str">
        <f>Source!E83</f>
        <v>20</v>
      </c>
      <c r="B151" s="31" t="str">
        <f>Source!F83</f>
        <v>Прайс</v>
      </c>
      <c r="C151" s="31" t="s">
        <v>251</v>
      </c>
      <c r="D151" s="32" t="str">
        <f>Source!H83</f>
        <v>ШТ</v>
      </c>
      <c r="E151" s="33">
        <f>Source!I83</f>
        <v>6</v>
      </c>
      <c r="F151" s="34">
        <f>Source!AL83</f>
        <v>384.58</v>
      </c>
      <c r="G151" s="35" t="str">
        <f>Source!DD83</f>
        <v/>
      </c>
      <c r="H151" s="33">
        <f>Source!AW83</f>
        <v>1</v>
      </c>
      <c r="I151" s="36">
        <f>ROUND((ROUND((Source!AC83*Source!AW83*Source!I83),2)),2)</f>
        <v>2307.48</v>
      </c>
      <c r="J151" s="33">
        <f>IF(Source!BC83&lt;&gt; 0, Source!BC83, 1)</f>
        <v>4.7699999999999996</v>
      </c>
      <c r="K151" s="36">
        <f>Source!P83</f>
        <v>11006.68</v>
      </c>
      <c r="Q151">
        <f>ROUND((Source!DN83/100)*ROUND((ROUND((Source!AF83*Source!AV83*Source!I83),2)),2), 2)</f>
        <v>0</v>
      </c>
      <c r="R151">
        <f>Source!X83</f>
        <v>0</v>
      </c>
      <c r="S151">
        <f>ROUND((Source!DO83/100)*ROUND((ROUND((Source!AF83*Source!AV83*Source!I83),2)),2), 2)</f>
        <v>0</v>
      </c>
      <c r="T151">
        <f>Source!Y83</f>
        <v>0</v>
      </c>
      <c r="U151">
        <f>ROUND((175/100)*ROUND((ROUND((Source!AE83*Source!AV83*Source!I83),2)),2), 2)</f>
        <v>0</v>
      </c>
      <c r="V151">
        <f>ROUND((157/100)*ROUND(ROUND((ROUND((Source!AE83*Source!AV83*Source!I83),2)*Source!BS83),2), 2), 2)</f>
        <v>0</v>
      </c>
    </row>
    <row r="152" spans="1:27" ht="15" x14ac:dyDescent="0.25">
      <c r="A152" s="37"/>
      <c r="B152" s="37"/>
      <c r="C152" s="38" t="s">
        <v>245</v>
      </c>
      <c r="D152" s="37"/>
      <c r="E152" s="37"/>
      <c r="F152" s="37"/>
      <c r="G152" s="37"/>
      <c r="H152" s="54">
        <f>I151</f>
        <v>2307.48</v>
      </c>
      <c r="I152" s="54"/>
      <c r="J152" s="54">
        <f>K151</f>
        <v>11006.68</v>
      </c>
      <c r="K152" s="54"/>
      <c r="O152" s="29">
        <f>I151</f>
        <v>2307.48</v>
      </c>
      <c r="P152" s="29">
        <f>K151</f>
        <v>11006.68</v>
      </c>
      <c r="X152">
        <f>IF(Source!BI83&lt;=1,I151-0, 0)</f>
        <v>0</v>
      </c>
      <c r="Y152">
        <f>IF(Source!BI83=2,I151-0, 0)</f>
        <v>0</v>
      </c>
      <c r="Z152">
        <f>IF(Source!BI83=3,I151-0, 0)</f>
        <v>2307.48</v>
      </c>
      <c r="AA152">
        <f>IF(Source!BI83=4,I151,0)</f>
        <v>0</v>
      </c>
    </row>
    <row r="154" spans="1:27" ht="54" x14ac:dyDescent="0.3">
      <c r="A154" s="30" t="str">
        <f>Source!E84</f>
        <v>21</v>
      </c>
      <c r="B154" s="31" t="str">
        <f>Source!F84</f>
        <v>Прайс</v>
      </c>
      <c r="C154" s="31" t="s">
        <v>252</v>
      </c>
      <c r="D154" s="32" t="str">
        <f>Source!H84</f>
        <v>ШТ</v>
      </c>
      <c r="E154" s="33">
        <f>Source!I84</f>
        <v>1</v>
      </c>
      <c r="F154" s="34">
        <f>Source!AL84</f>
        <v>20331.849999999999</v>
      </c>
      <c r="G154" s="35" t="str">
        <f>Source!DD84</f>
        <v/>
      </c>
      <c r="H154" s="33">
        <f>Source!AW84</f>
        <v>1</v>
      </c>
      <c r="I154" s="36">
        <f>ROUND((ROUND((Source!AC84*Source!AW84*Source!I84),2)),2)</f>
        <v>20331.849999999999</v>
      </c>
      <c r="J154" s="33">
        <f>IF(Source!BC84&lt;&gt; 0, Source!BC84, 1)</f>
        <v>4.7699999999999996</v>
      </c>
      <c r="K154" s="36">
        <f>Source!P84</f>
        <v>96982.92</v>
      </c>
      <c r="Q154">
        <f>ROUND((Source!DN84/100)*ROUND((ROUND((Source!AF84*Source!AV84*Source!I84),2)),2), 2)</f>
        <v>0</v>
      </c>
      <c r="R154">
        <f>Source!X84</f>
        <v>0</v>
      </c>
      <c r="S154">
        <f>ROUND((Source!DO84/100)*ROUND((ROUND((Source!AF84*Source!AV84*Source!I84),2)),2), 2)</f>
        <v>0</v>
      </c>
      <c r="T154">
        <f>Source!Y84</f>
        <v>0</v>
      </c>
      <c r="U154">
        <f>ROUND((175/100)*ROUND((ROUND((Source!AE84*Source!AV84*Source!I84),2)),2), 2)</f>
        <v>0</v>
      </c>
      <c r="V154">
        <f>ROUND((157/100)*ROUND(ROUND((ROUND((Source!AE84*Source!AV84*Source!I84),2)*Source!BS84),2), 2), 2)</f>
        <v>0</v>
      </c>
    </row>
    <row r="155" spans="1:27" ht="15" x14ac:dyDescent="0.25">
      <c r="A155" s="37"/>
      <c r="B155" s="37"/>
      <c r="C155" s="38" t="s">
        <v>245</v>
      </c>
      <c r="D155" s="37"/>
      <c r="E155" s="37"/>
      <c r="F155" s="37"/>
      <c r="G155" s="37"/>
      <c r="H155" s="54">
        <f>I154</f>
        <v>20331.849999999999</v>
      </c>
      <c r="I155" s="54"/>
      <c r="J155" s="54">
        <f>K154</f>
        <v>96982.92</v>
      </c>
      <c r="K155" s="54"/>
      <c r="O155" s="29">
        <f>I154</f>
        <v>20331.849999999999</v>
      </c>
      <c r="P155" s="29">
        <f>K154</f>
        <v>96982.92</v>
      </c>
      <c r="X155">
        <f>IF(Source!BI84&lt;=1,I154-0, 0)</f>
        <v>0</v>
      </c>
      <c r="Y155">
        <f>IF(Source!BI84=2,I154-0, 0)</f>
        <v>0</v>
      </c>
      <c r="Z155">
        <f>IF(Source!BI84=3,I154-0, 0)</f>
        <v>20331.849999999999</v>
      </c>
      <c r="AA155">
        <f>IF(Source!BI84=4,I154,0)</f>
        <v>0</v>
      </c>
    </row>
    <row r="157" spans="1:27" ht="54" x14ac:dyDescent="0.3">
      <c r="A157" s="30" t="str">
        <f>Source!E85</f>
        <v>22</v>
      </c>
      <c r="B157" s="31" t="str">
        <f>Source!F85</f>
        <v>Прайс</v>
      </c>
      <c r="C157" s="31" t="s">
        <v>253</v>
      </c>
      <c r="D157" s="32" t="str">
        <f>Source!H85</f>
        <v>ШТ</v>
      </c>
      <c r="E157" s="33">
        <f>Source!I85</f>
        <v>1</v>
      </c>
      <c r="F157" s="34">
        <f>Source!AL85</f>
        <v>18629.18</v>
      </c>
      <c r="G157" s="35" t="str">
        <f>Source!DD85</f>
        <v/>
      </c>
      <c r="H157" s="33">
        <f>Source!AW85</f>
        <v>1</v>
      </c>
      <c r="I157" s="36">
        <f>ROUND((ROUND((Source!AC85*Source!AW85*Source!I85),2)),2)</f>
        <v>18629.18</v>
      </c>
      <c r="J157" s="33">
        <f>IF(Source!BC85&lt;&gt; 0, Source!BC85, 1)</f>
        <v>4.7699999999999996</v>
      </c>
      <c r="K157" s="36">
        <f>Source!P85</f>
        <v>88861.19</v>
      </c>
      <c r="Q157">
        <f>ROUND((Source!DN85/100)*ROUND((ROUND((Source!AF85*Source!AV85*Source!I85),2)),2), 2)</f>
        <v>0</v>
      </c>
      <c r="R157">
        <f>Source!X85</f>
        <v>0</v>
      </c>
      <c r="S157">
        <f>ROUND((Source!DO85/100)*ROUND((ROUND((Source!AF85*Source!AV85*Source!I85),2)),2), 2)</f>
        <v>0</v>
      </c>
      <c r="T157">
        <f>Source!Y85</f>
        <v>0</v>
      </c>
      <c r="U157">
        <f>ROUND((175/100)*ROUND((ROUND((Source!AE85*Source!AV85*Source!I85),2)),2), 2)</f>
        <v>0</v>
      </c>
      <c r="V157">
        <f>ROUND((157/100)*ROUND(ROUND((ROUND((Source!AE85*Source!AV85*Source!I85),2)*Source!BS85),2), 2), 2)</f>
        <v>0</v>
      </c>
    </row>
    <row r="158" spans="1:27" ht="15" x14ac:dyDescent="0.25">
      <c r="A158" s="37"/>
      <c r="B158" s="37"/>
      <c r="C158" s="38" t="s">
        <v>245</v>
      </c>
      <c r="D158" s="37"/>
      <c r="E158" s="37"/>
      <c r="F158" s="37"/>
      <c r="G158" s="37"/>
      <c r="H158" s="54">
        <f>I157</f>
        <v>18629.18</v>
      </c>
      <c r="I158" s="54"/>
      <c r="J158" s="54">
        <f>K157</f>
        <v>88861.19</v>
      </c>
      <c r="K158" s="54"/>
      <c r="O158" s="29">
        <f>I157</f>
        <v>18629.18</v>
      </c>
      <c r="P158" s="29">
        <f>K157</f>
        <v>88861.19</v>
      </c>
      <c r="X158">
        <f>IF(Source!BI85&lt;=1,I157-0, 0)</f>
        <v>0</v>
      </c>
      <c r="Y158">
        <f>IF(Source!BI85=2,I157-0, 0)</f>
        <v>0</v>
      </c>
      <c r="Z158">
        <f>IF(Source!BI85=3,I157-0, 0)</f>
        <v>18629.18</v>
      </c>
      <c r="AA158">
        <f>IF(Source!BI85=4,I157,0)</f>
        <v>0</v>
      </c>
    </row>
    <row r="160" spans="1:27" ht="40.200000000000003" x14ac:dyDescent="0.3">
      <c r="A160" s="30" t="str">
        <f>Source!E86</f>
        <v>23</v>
      </c>
      <c r="B160" s="31" t="str">
        <f>Source!F86</f>
        <v>Прайс</v>
      </c>
      <c r="C160" s="31" t="s">
        <v>254</v>
      </c>
      <c r="D160" s="32" t="str">
        <f>Source!H86</f>
        <v>ШТ</v>
      </c>
      <c r="E160" s="33">
        <f>Source!I86</f>
        <v>1</v>
      </c>
      <c r="F160" s="34">
        <f>Source!AL86</f>
        <v>7539.079999999999</v>
      </c>
      <c r="G160" s="35" t="str">
        <f>Source!DD86</f>
        <v/>
      </c>
      <c r="H160" s="33">
        <f>Source!AW86</f>
        <v>1</v>
      </c>
      <c r="I160" s="36">
        <f>ROUND((ROUND((Source!AC86*Source!AW86*Source!I86),2)),2)</f>
        <v>7539.08</v>
      </c>
      <c r="J160" s="33">
        <f>IF(Source!BC86&lt;&gt; 0, Source!BC86, 1)</f>
        <v>4.7699999999999996</v>
      </c>
      <c r="K160" s="36">
        <f>Source!P86</f>
        <v>35961.410000000003</v>
      </c>
      <c r="Q160">
        <f>ROUND((Source!DN86/100)*ROUND((ROUND((Source!AF86*Source!AV86*Source!I86),2)),2), 2)</f>
        <v>0</v>
      </c>
      <c r="R160">
        <f>Source!X86</f>
        <v>0</v>
      </c>
      <c r="S160">
        <f>ROUND((Source!DO86/100)*ROUND((ROUND((Source!AF86*Source!AV86*Source!I86),2)),2), 2)</f>
        <v>0</v>
      </c>
      <c r="T160">
        <f>Source!Y86</f>
        <v>0</v>
      </c>
      <c r="U160">
        <f>ROUND((175/100)*ROUND((ROUND((Source!AE86*Source!AV86*Source!I86),2)),2), 2)</f>
        <v>0</v>
      </c>
      <c r="V160">
        <f>ROUND((157/100)*ROUND(ROUND((ROUND((Source!AE86*Source!AV86*Source!I86),2)*Source!BS86),2), 2), 2)</f>
        <v>0</v>
      </c>
    </row>
    <row r="161" spans="1:27" ht="15" x14ac:dyDescent="0.25">
      <c r="A161" s="37"/>
      <c r="B161" s="37"/>
      <c r="C161" s="38" t="s">
        <v>245</v>
      </c>
      <c r="D161" s="37"/>
      <c r="E161" s="37"/>
      <c r="F161" s="37"/>
      <c r="G161" s="37"/>
      <c r="H161" s="54">
        <f>I160</f>
        <v>7539.08</v>
      </c>
      <c r="I161" s="54"/>
      <c r="J161" s="54">
        <f>K160</f>
        <v>35961.410000000003</v>
      </c>
      <c r="K161" s="54"/>
      <c r="O161" s="29">
        <f>I160</f>
        <v>7539.08</v>
      </c>
      <c r="P161" s="29">
        <f>K160</f>
        <v>35961.410000000003</v>
      </c>
      <c r="X161">
        <f>IF(Source!BI86&lt;=1,I160-0, 0)</f>
        <v>0</v>
      </c>
      <c r="Y161">
        <f>IF(Source!BI86=2,I160-0, 0)</f>
        <v>0</v>
      </c>
      <c r="Z161">
        <f>IF(Source!BI86=3,I160-0, 0)</f>
        <v>7539.08</v>
      </c>
      <c r="AA161">
        <f>IF(Source!BI86=4,I160,0)</f>
        <v>0</v>
      </c>
    </row>
    <row r="163" spans="1:27" ht="40.200000000000003" x14ac:dyDescent="0.3">
      <c r="A163" s="30" t="str">
        <f>Source!E87</f>
        <v>24</v>
      </c>
      <c r="B163" s="31" t="str">
        <f>Source!F87</f>
        <v>Прайс</v>
      </c>
      <c r="C163" s="31" t="s">
        <v>255</v>
      </c>
      <c r="D163" s="32" t="str">
        <f>Source!H87</f>
        <v>ШТ</v>
      </c>
      <c r="E163" s="33">
        <f>Source!I87</f>
        <v>1</v>
      </c>
      <c r="F163" s="34">
        <f>Source!AL87</f>
        <v>25157.23</v>
      </c>
      <c r="G163" s="35" t="str">
        <f>Source!DD87</f>
        <v/>
      </c>
      <c r="H163" s="33">
        <f>Source!AW87</f>
        <v>1</v>
      </c>
      <c r="I163" s="36">
        <f>ROUND((ROUND((Source!AC87*Source!AW87*Source!I87),2)),2)</f>
        <v>25157.23</v>
      </c>
      <c r="J163" s="33">
        <f>IF(Source!BC87&lt;&gt; 0, Source!BC87, 1)</f>
        <v>4.7699999999999996</v>
      </c>
      <c r="K163" s="36">
        <f>Source!P87</f>
        <v>119999.99</v>
      </c>
      <c r="Q163">
        <f>ROUND((Source!DN87/100)*ROUND((ROUND((Source!AF87*Source!AV87*Source!I87),2)),2), 2)</f>
        <v>0</v>
      </c>
      <c r="R163">
        <f>Source!X87</f>
        <v>0</v>
      </c>
      <c r="S163">
        <f>ROUND((Source!DO87/100)*ROUND((ROUND((Source!AF87*Source!AV87*Source!I87),2)),2), 2)</f>
        <v>0</v>
      </c>
      <c r="T163">
        <f>Source!Y87</f>
        <v>0</v>
      </c>
      <c r="U163">
        <f>ROUND((175/100)*ROUND((ROUND((Source!AE87*Source!AV87*Source!I87),2)),2), 2)</f>
        <v>0</v>
      </c>
      <c r="V163">
        <f>ROUND((157/100)*ROUND(ROUND((ROUND((Source!AE87*Source!AV87*Source!I87),2)*Source!BS87),2), 2), 2)</f>
        <v>0</v>
      </c>
    </row>
    <row r="164" spans="1:27" ht="15" x14ac:dyDescent="0.25">
      <c r="A164" s="37"/>
      <c r="B164" s="37"/>
      <c r="C164" s="38" t="s">
        <v>245</v>
      </c>
      <c r="D164" s="37"/>
      <c r="E164" s="37"/>
      <c r="F164" s="37"/>
      <c r="G164" s="37"/>
      <c r="H164" s="54">
        <f>I163</f>
        <v>25157.23</v>
      </c>
      <c r="I164" s="54"/>
      <c r="J164" s="54">
        <f>K163</f>
        <v>119999.99</v>
      </c>
      <c r="K164" s="54"/>
      <c r="O164" s="29">
        <f>I163</f>
        <v>25157.23</v>
      </c>
      <c r="P164" s="29">
        <f>K163</f>
        <v>119999.99</v>
      </c>
      <c r="X164">
        <f>IF(Source!BI87&lt;=1,I163-0, 0)</f>
        <v>0</v>
      </c>
      <c r="Y164">
        <f>IF(Source!BI87=2,I163-0, 0)</f>
        <v>0</v>
      </c>
      <c r="Z164">
        <f>IF(Source!BI87=3,I163-0, 0)</f>
        <v>25157.23</v>
      </c>
      <c r="AA164">
        <f>IF(Source!BI87=4,I163,0)</f>
        <v>0</v>
      </c>
    </row>
    <row r="166" spans="1:27" ht="40.799999999999997" x14ac:dyDescent="0.3">
      <c r="A166" s="30" t="str">
        <f>Source!E88</f>
        <v>25</v>
      </c>
      <c r="B166" s="31" t="str">
        <f>Source!F88</f>
        <v>Прайс</v>
      </c>
      <c r="C166" s="31" t="s">
        <v>256</v>
      </c>
      <c r="D166" s="32" t="str">
        <f>Source!H88</f>
        <v>ШТ</v>
      </c>
      <c r="E166" s="33">
        <f>Source!I88</f>
        <v>2</v>
      </c>
      <c r="F166" s="34">
        <f>Source!AL88</f>
        <v>4.1900000000000004</v>
      </c>
      <c r="G166" s="35" t="str">
        <f>Source!DD88</f>
        <v/>
      </c>
      <c r="H166" s="33">
        <f>Source!AW88</f>
        <v>1</v>
      </c>
      <c r="I166" s="36">
        <f>ROUND((ROUND((Source!AC88*Source!AW88*Source!I88),2)),2)</f>
        <v>8.3800000000000008</v>
      </c>
      <c r="J166" s="33">
        <f>IF(Source!BC88&lt;&gt; 0, Source!BC88, 1)</f>
        <v>4.7699999999999996</v>
      </c>
      <c r="K166" s="36">
        <f>Source!P88</f>
        <v>39.97</v>
      </c>
      <c r="Q166">
        <f>ROUND((Source!DN88/100)*ROUND((ROUND((Source!AF88*Source!AV88*Source!I88),2)),2), 2)</f>
        <v>0</v>
      </c>
      <c r="R166">
        <f>Source!X88</f>
        <v>0</v>
      </c>
      <c r="S166">
        <f>ROUND((Source!DO88/100)*ROUND((ROUND((Source!AF88*Source!AV88*Source!I88),2)),2), 2)</f>
        <v>0</v>
      </c>
      <c r="T166">
        <f>Source!Y88</f>
        <v>0</v>
      </c>
      <c r="U166">
        <f>ROUND((175/100)*ROUND((ROUND((Source!AE88*Source!AV88*Source!I88),2)),2), 2)</f>
        <v>0</v>
      </c>
      <c r="V166">
        <f>ROUND((157/100)*ROUND(ROUND((ROUND((Source!AE88*Source!AV88*Source!I88),2)*Source!BS88),2), 2), 2)</f>
        <v>0</v>
      </c>
    </row>
    <row r="167" spans="1:27" ht="15" x14ac:dyDescent="0.25">
      <c r="A167" s="37"/>
      <c r="B167" s="37"/>
      <c r="C167" s="38" t="s">
        <v>245</v>
      </c>
      <c r="D167" s="37"/>
      <c r="E167" s="37"/>
      <c r="F167" s="37"/>
      <c r="G167" s="37"/>
      <c r="H167" s="54">
        <f>I166</f>
        <v>8.3800000000000008</v>
      </c>
      <c r="I167" s="54"/>
      <c r="J167" s="54">
        <f>K166</f>
        <v>39.97</v>
      </c>
      <c r="K167" s="54"/>
      <c r="O167" s="29">
        <f>I166</f>
        <v>8.3800000000000008</v>
      </c>
      <c r="P167" s="29">
        <f>K166</f>
        <v>39.97</v>
      </c>
      <c r="X167">
        <f>IF(Source!BI88&lt;=1,I166-0, 0)</f>
        <v>0</v>
      </c>
      <c r="Y167">
        <f>IF(Source!BI88=2,I166-0, 0)</f>
        <v>0</v>
      </c>
      <c r="Z167">
        <f>IF(Source!BI88=3,I166-0, 0)</f>
        <v>8.3800000000000008</v>
      </c>
      <c r="AA167">
        <f>IF(Source!BI88=4,I166,0)</f>
        <v>0</v>
      </c>
    </row>
    <row r="169" spans="1:27" ht="54" x14ac:dyDescent="0.3">
      <c r="A169" s="30" t="str">
        <f>Source!E89</f>
        <v>26</v>
      </c>
      <c r="B169" s="31" t="str">
        <f>Source!F89</f>
        <v>Прайс</v>
      </c>
      <c r="C169" s="31" t="s">
        <v>257</v>
      </c>
      <c r="D169" s="32" t="str">
        <f>Source!H89</f>
        <v>ШТ</v>
      </c>
      <c r="E169" s="33">
        <f>Source!I89</f>
        <v>1</v>
      </c>
      <c r="F169" s="34">
        <f>Source!AL89</f>
        <v>5241.09</v>
      </c>
      <c r="G169" s="35" t="str">
        <f>Source!DD89</f>
        <v/>
      </c>
      <c r="H169" s="33">
        <f>Source!AW89</f>
        <v>1</v>
      </c>
      <c r="I169" s="36">
        <f>ROUND((ROUND((Source!AC89*Source!AW89*Source!I89),2)),2)</f>
        <v>5241.09</v>
      </c>
      <c r="J169" s="33">
        <f>IF(Source!BC89&lt;&gt; 0, Source!BC89, 1)</f>
        <v>4.7699999999999996</v>
      </c>
      <c r="K169" s="36">
        <f>Source!P89</f>
        <v>25000</v>
      </c>
      <c r="Q169">
        <f>ROUND((Source!DN89/100)*ROUND((ROUND((Source!AF89*Source!AV89*Source!I89),2)),2), 2)</f>
        <v>0</v>
      </c>
      <c r="R169">
        <f>Source!X89</f>
        <v>0</v>
      </c>
      <c r="S169">
        <f>ROUND((Source!DO89/100)*ROUND((ROUND((Source!AF89*Source!AV89*Source!I89),2)),2), 2)</f>
        <v>0</v>
      </c>
      <c r="T169">
        <f>Source!Y89</f>
        <v>0</v>
      </c>
      <c r="U169">
        <f>ROUND((175/100)*ROUND((ROUND((Source!AE89*Source!AV89*Source!I89),2)),2), 2)</f>
        <v>0</v>
      </c>
      <c r="V169">
        <f>ROUND((157/100)*ROUND(ROUND((ROUND((Source!AE89*Source!AV89*Source!I89),2)*Source!BS89),2), 2), 2)</f>
        <v>0</v>
      </c>
    </row>
    <row r="170" spans="1:27" ht="15" x14ac:dyDescent="0.25">
      <c r="A170" s="37"/>
      <c r="B170" s="37"/>
      <c r="C170" s="38" t="s">
        <v>245</v>
      </c>
      <c r="D170" s="37"/>
      <c r="E170" s="37"/>
      <c r="F170" s="37"/>
      <c r="G170" s="37"/>
      <c r="H170" s="54">
        <f>I169</f>
        <v>5241.09</v>
      </c>
      <c r="I170" s="54"/>
      <c r="J170" s="54">
        <f>K169</f>
        <v>25000</v>
      </c>
      <c r="K170" s="54"/>
      <c r="O170" s="29">
        <f>I169</f>
        <v>5241.09</v>
      </c>
      <c r="P170" s="29">
        <f>K169</f>
        <v>25000</v>
      </c>
      <c r="X170">
        <f>IF(Source!BI89&lt;=1,I169-0, 0)</f>
        <v>0</v>
      </c>
      <c r="Y170">
        <f>IF(Source!BI89=2,I169-0, 0)</f>
        <v>0</v>
      </c>
      <c r="Z170">
        <f>IF(Source!BI89=3,I169-0, 0)</f>
        <v>5241.09</v>
      </c>
      <c r="AA170">
        <f>IF(Source!BI89=4,I169,0)</f>
        <v>0</v>
      </c>
    </row>
    <row r="172" spans="1:27" ht="54" x14ac:dyDescent="0.3">
      <c r="A172" s="30" t="str">
        <f>Source!E90</f>
        <v>27</v>
      </c>
      <c r="B172" s="31" t="str">
        <f>Source!F90</f>
        <v>Прайс</v>
      </c>
      <c r="C172" s="31" t="s">
        <v>258</v>
      </c>
      <c r="D172" s="32" t="str">
        <f>Source!H90</f>
        <v>ШТ</v>
      </c>
      <c r="E172" s="33">
        <f>Source!I90</f>
        <v>1</v>
      </c>
      <c r="F172" s="34">
        <f>Source!AL90</f>
        <v>10482.18</v>
      </c>
      <c r="G172" s="35" t="str">
        <f>Source!DD90</f>
        <v/>
      </c>
      <c r="H172" s="33">
        <f>Source!AW90</f>
        <v>1</v>
      </c>
      <c r="I172" s="36">
        <f>ROUND((ROUND((Source!AC90*Source!AW90*Source!I90),2)),2)</f>
        <v>10482.18</v>
      </c>
      <c r="J172" s="33">
        <f>IF(Source!BC90&lt;&gt; 0, Source!BC90, 1)</f>
        <v>4.7699999999999996</v>
      </c>
      <c r="K172" s="36">
        <f>Source!P90</f>
        <v>50000</v>
      </c>
      <c r="Q172">
        <f>ROUND((Source!DN90/100)*ROUND((ROUND((Source!AF90*Source!AV90*Source!I90),2)),2), 2)</f>
        <v>0</v>
      </c>
      <c r="R172">
        <f>Source!X90</f>
        <v>0</v>
      </c>
      <c r="S172">
        <f>ROUND((Source!DO90/100)*ROUND((ROUND((Source!AF90*Source!AV90*Source!I90),2)),2), 2)</f>
        <v>0</v>
      </c>
      <c r="T172">
        <f>Source!Y90</f>
        <v>0</v>
      </c>
      <c r="U172">
        <f>ROUND((175/100)*ROUND((ROUND((Source!AE90*Source!AV90*Source!I90),2)),2), 2)</f>
        <v>0</v>
      </c>
      <c r="V172">
        <f>ROUND((157/100)*ROUND(ROUND((ROUND((Source!AE90*Source!AV90*Source!I90),2)*Source!BS90),2), 2), 2)</f>
        <v>0</v>
      </c>
    </row>
    <row r="173" spans="1:27" ht="15" x14ac:dyDescent="0.25">
      <c r="A173" s="37"/>
      <c r="B173" s="37"/>
      <c r="C173" s="38" t="s">
        <v>245</v>
      </c>
      <c r="D173" s="37"/>
      <c r="E173" s="37"/>
      <c r="F173" s="37"/>
      <c r="G173" s="37"/>
      <c r="H173" s="54">
        <f>I172</f>
        <v>10482.18</v>
      </c>
      <c r="I173" s="54"/>
      <c r="J173" s="54">
        <f>K172</f>
        <v>50000</v>
      </c>
      <c r="K173" s="54"/>
      <c r="O173" s="29">
        <f>I172</f>
        <v>10482.18</v>
      </c>
      <c r="P173" s="29">
        <f>K172</f>
        <v>50000</v>
      </c>
      <c r="X173">
        <f>IF(Source!BI90&lt;=1,I172-0, 0)</f>
        <v>0</v>
      </c>
      <c r="Y173">
        <f>IF(Source!BI90=2,I172-0, 0)</f>
        <v>0</v>
      </c>
      <c r="Z173">
        <f>IF(Source!BI90=3,I172-0, 0)</f>
        <v>10482.18</v>
      </c>
      <c r="AA173">
        <f>IF(Source!BI90=4,I172,0)</f>
        <v>0</v>
      </c>
    </row>
    <row r="175" spans="1:27" ht="14.4" x14ac:dyDescent="0.3">
      <c r="C175" s="43" t="str">
        <f>Source!G91</f>
        <v/>
      </c>
    </row>
    <row r="176" spans="1:27" ht="14.4" x14ac:dyDescent="0.3">
      <c r="C176" s="43" t="str">
        <f>Source!G92</f>
        <v/>
      </c>
    </row>
    <row r="178" spans="1:11" ht="13.8" x14ac:dyDescent="0.25">
      <c r="A178" s="51" t="str">
        <f>CONCATENATE("Итого по разделу: ",IF(Source!G94&lt;&gt;"Новый раздел", Source!G94, ""))</f>
        <v>Итого по разделу: Оборудование</v>
      </c>
      <c r="B178" s="51"/>
      <c r="C178" s="51"/>
      <c r="D178" s="51"/>
      <c r="E178" s="51"/>
      <c r="F178" s="51"/>
      <c r="G178" s="51"/>
      <c r="H178" s="49">
        <f>SUM(O135:O177)</f>
        <v>95370.68</v>
      </c>
      <c r="I178" s="50"/>
      <c r="J178" s="49">
        <f>SUM(P135:P177)</f>
        <v>454918.13</v>
      </c>
      <c r="K178" s="50"/>
    </row>
    <row r="179" spans="1:11" ht="12.75" hidden="1" x14ac:dyDescent="0.2">
      <c r="A179" t="s">
        <v>246</v>
      </c>
      <c r="I179">
        <f>SUM(AC135:AC178)</f>
        <v>0</v>
      </c>
      <c r="J179">
        <f>SUM(AD135:AD178)</f>
        <v>0</v>
      </c>
    </row>
    <row r="180" spans="1:11" hidden="1" x14ac:dyDescent="0.25">
      <c r="A180" t="s">
        <v>247</v>
      </c>
      <c r="I180">
        <f>SUM(AE135:AE179)</f>
        <v>0</v>
      </c>
      <c r="J180">
        <f>SUM(AF135:AF179)</f>
        <v>0</v>
      </c>
    </row>
    <row r="182" spans="1:11" ht="13.8" x14ac:dyDescent="0.25">
      <c r="A182" s="51" t="str">
        <f>CONCATENATE("Итого по локальной смете: ",IF(Source!G158&lt;&gt;"Новая локальная смета", Source!G158, ""))</f>
        <v xml:space="preserve">Итого по локальной смете: </v>
      </c>
      <c r="B182" s="51"/>
      <c r="C182" s="51"/>
      <c r="D182" s="51"/>
      <c r="E182" s="51"/>
      <c r="F182" s="51"/>
      <c r="G182" s="51"/>
      <c r="H182" s="49">
        <f>SUM(O29:O181)</f>
        <v>113233.22</v>
      </c>
      <c r="I182" s="50"/>
      <c r="J182" s="49">
        <f>SUM(P29:P181)</f>
        <v>682829.31999999983</v>
      </c>
      <c r="K182" s="50"/>
    </row>
    <row r="183" spans="1:11" ht="12.75" hidden="1" x14ac:dyDescent="0.2">
      <c r="A183" t="s">
        <v>246</v>
      </c>
      <c r="I183">
        <f>SUM(AC29:AC182)</f>
        <v>0</v>
      </c>
      <c r="J183">
        <f>SUM(AD29:AD182)</f>
        <v>0</v>
      </c>
    </row>
    <row r="184" spans="1:11" hidden="1" x14ac:dyDescent="0.25">
      <c r="A184" t="s">
        <v>247</v>
      </c>
      <c r="I184">
        <f>SUM(AE29:AE183)</f>
        <v>0</v>
      </c>
      <c r="J184">
        <f>SUM(AF29:AF183)</f>
        <v>0</v>
      </c>
    </row>
    <row r="185" spans="1:11" ht="13.8" x14ac:dyDescent="0.25">
      <c r="C185" s="47" t="str">
        <f>Source!H160</f>
        <v>Прямые затраты</v>
      </c>
      <c r="D185" s="47"/>
      <c r="E185" s="47"/>
      <c r="F185" s="47"/>
      <c r="G185" s="47"/>
      <c r="H185" s="47"/>
      <c r="I185" s="47"/>
      <c r="J185" s="48">
        <f>IF(Source!F160=0, "", Source!F160)</f>
        <v>577844.68999999994</v>
      </c>
      <c r="K185" s="48"/>
    </row>
    <row r="186" spans="1:11" ht="13.8" x14ac:dyDescent="0.25">
      <c r="C186" s="47" t="str">
        <f>Source!H164</f>
        <v>Стоимость материалов (всего)</v>
      </c>
      <c r="D186" s="47"/>
      <c r="E186" s="47"/>
      <c r="F186" s="47"/>
      <c r="G186" s="47"/>
      <c r="H186" s="47"/>
      <c r="I186" s="47"/>
      <c r="J186" s="48">
        <f>IF(Source!F164=0, "", Source!F164)</f>
        <v>43007.519999999997</v>
      </c>
      <c r="K186" s="48"/>
    </row>
    <row r="187" spans="1:11" ht="13.8" x14ac:dyDescent="0.25">
      <c r="C187" s="47" t="str">
        <f>Source!H167</f>
        <v>Стоимость оборудования (всего)</v>
      </c>
      <c r="D187" s="47"/>
      <c r="E187" s="47"/>
      <c r="F187" s="47"/>
      <c r="G187" s="47"/>
      <c r="H187" s="47"/>
      <c r="I187" s="47"/>
      <c r="J187" s="48">
        <f>IF(Source!F167=0, "", Source!F167)</f>
        <v>454918.13</v>
      </c>
      <c r="K187" s="48"/>
    </row>
    <row r="188" spans="1:11" ht="13.8" x14ac:dyDescent="0.25">
      <c r="C188" s="47" t="str">
        <f>Source!H170</f>
        <v>Эксплуатация машин</v>
      </c>
      <c r="D188" s="47"/>
      <c r="E188" s="47"/>
      <c r="F188" s="47"/>
      <c r="G188" s="47"/>
      <c r="H188" s="47"/>
      <c r="I188" s="47"/>
      <c r="J188" s="48">
        <f>IF(Source!F170=0, "", Source!F170)</f>
        <v>1500.12</v>
      </c>
      <c r="K188" s="48"/>
    </row>
    <row r="189" spans="1:11" ht="13.8" x14ac:dyDescent="0.25">
      <c r="C189" s="47" t="str">
        <f>Source!H172</f>
        <v>ЗП машинистов</v>
      </c>
      <c r="D189" s="47"/>
      <c r="E189" s="47"/>
      <c r="F189" s="47"/>
      <c r="G189" s="47"/>
      <c r="H189" s="47"/>
      <c r="I189" s="47"/>
      <c r="J189" s="48">
        <f>IF(Source!F172=0, "", Source!F172)</f>
        <v>498.58</v>
      </c>
      <c r="K189" s="48"/>
    </row>
    <row r="190" spans="1:11" ht="13.8" x14ac:dyDescent="0.25">
      <c r="C190" s="47" t="str">
        <f>Source!H173</f>
        <v>Основная ЗП рабочих</v>
      </c>
      <c r="D190" s="47"/>
      <c r="E190" s="47"/>
      <c r="F190" s="47"/>
      <c r="G190" s="47"/>
      <c r="H190" s="47"/>
      <c r="I190" s="47"/>
      <c r="J190" s="48">
        <f>IF(Source!F173=0, "", Source!F173)</f>
        <v>78418.92</v>
      </c>
      <c r="K190" s="48"/>
    </row>
    <row r="191" spans="1:11" ht="13.8" x14ac:dyDescent="0.25">
      <c r="C191" s="47" t="str">
        <f>Source!H180</f>
        <v>Трудозатраты строителей</v>
      </c>
      <c r="D191" s="47"/>
      <c r="E191" s="47"/>
      <c r="F191" s="47"/>
      <c r="G191" s="47"/>
      <c r="H191" s="47"/>
      <c r="I191" s="47"/>
      <c r="J191" s="68">
        <f>IF(Source!F180=0, "", Source!F180)</f>
        <v>236.14442423999992</v>
      </c>
      <c r="K191" s="68"/>
    </row>
    <row r="192" spans="1:11" ht="13.8" hidden="1" x14ac:dyDescent="0.25">
      <c r="C192" s="47" t="str">
        <f>Source!H181</f>
        <v>Трудозатраты машинистов</v>
      </c>
      <c r="D192" s="47"/>
      <c r="E192" s="47"/>
      <c r="F192" s="47"/>
      <c r="G192" s="47"/>
      <c r="H192" s="47"/>
      <c r="I192" s="47"/>
      <c r="J192" s="52" t="str">
        <f>IF(Source!F181=0, "", Source!F181)</f>
        <v/>
      </c>
      <c r="K192" s="52"/>
    </row>
    <row r="193" spans="1:11" ht="13.8" x14ac:dyDescent="0.25">
      <c r="C193" s="47" t="str">
        <f>Source!H184</f>
        <v>Накладные расходы</v>
      </c>
      <c r="D193" s="47"/>
      <c r="E193" s="47"/>
      <c r="F193" s="47"/>
      <c r="G193" s="47"/>
      <c r="H193" s="47"/>
      <c r="I193" s="47"/>
      <c r="J193" s="48">
        <f>IF(Source!F184=0, "", Source!F184)</f>
        <v>70577.039999999994</v>
      </c>
      <c r="K193" s="48"/>
    </row>
    <row r="194" spans="1:11" ht="13.8" x14ac:dyDescent="0.25">
      <c r="C194" s="47" t="str">
        <f>Source!H185</f>
        <v>Сметная прибыль</v>
      </c>
      <c r="D194" s="47"/>
      <c r="E194" s="47"/>
      <c r="F194" s="47"/>
      <c r="G194" s="47"/>
      <c r="H194" s="47"/>
      <c r="I194" s="47"/>
      <c r="J194" s="48">
        <f>IF(Source!F185=0, "", Source!F185)</f>
        <v>33624.83</v>
      </c>
      <c r="K194" s="48"/>
    </row>
    <row r="195" spans="1:11" ht="13.8" x14ac:dyDescent="0.25">
      <c r="C195" s="47" t="str">
        <f>Source!H186</f>
        <v>Всего с НР и СП</v>
      </c>
      <c r="D195" s="47"/>
      <c r="E195" s="47"/>
      <c r="F195" s="47"/>
      <c r="G195" s="47"/>
      <c r="H195" s="47"/>
      <c r="I195" s="47"/>
      <c r="J195" s="48">
        <f>IF(Source!F186=0, "", Source!F186)</f>
        <v>682829.32</v>
      </c>
      <c r="K195" s="48"/>
    </row>
    <row r="197" spans="1:11" ht="13.8" x14ac:dyDescent="0.25">
      <c r="A197" s="51" t="str">
        <f>CONCATENATE("Итого по смете: ",IF(Source!G188&lt;&gt;"Новый объект", Source!G188, ""))</f>
        <v xml:space="preserve">Итого по смете: </v>
      </c>
      <c r="B197" s="51"/>
      <c r="C197" s="51"/>
      <c r="D197" s="51"/>
      <c r="E197" s="51"/>
      <c r="F197" s="51"/>
      <c r="G197" s="51"/>
      <c r="H197" s="49">
        <f>SUM(O1:O196)</f>
        <v>113233.22</v>
      </c>
      <c r="I197" s="50"/>
      <c r="J197" s="49">
        <f>SUM(P1:P196)</f>
        <v>682829.31999999983</v>
      </c>
      <c r="K197" s="50"/>
    </row>
    <row r="198" spans="1:11" ht="12.75" hidden="1" x14ac:dyDescent="0.2">
      <c r="A198" t="s">
        <v>246</v>
      </c>
      <c r="I198">
        <f>SUM(AC1:AC197)</f>
        <v>0</v>
      </c>
      <c r="J198">
        <f>SUM(AD1:AD197)</f>
        <v>0</v>
      </c>
    </row>
    <row r="199" spans="1:11" hidden="1" x14ac:dyDescent="0.25">
      <c r="A199" t="s">
        <v>247</v>
      </c>
      <c r="I199">
        <f>SUM(AE1:AE198)</f>
        <v>0</v>
      </c>
      <c r="J199">
        <f>SUM(AF1:AF198)</f>
        <v>0</v>
      </c>
    </row>
    <row r="200" spans="1:11" ht="13.8" x14ac:dyDescent="0.25">
      <c r="A200" s="10" t="s">
        <v>265</v>
      </c>
      <c r="B200" s="10"/>
      <c r="K200" s="66">
        <f>J16*1000*1.5%</f>
        <v>3418.6678499999998</v>
      </c>
    </row>
    <row r="201" spans="1:11" ht="13.8" x14ac:dyDescent="0.25">
      <c r="A201" s="51" t="s">
        <v>266</v>
      </c>
      <c r="B201" s="51"/>
      <c r="C201" s="51"/>
      <c r="D201" s="51"/>
      <c r="E201" s="51"/>
      <c r="F201" s="51"/>
      <c r="G201" s="51"/>
      <c r="K201" s="67">
        <f>J197+K200</f>
        <v>686247.9878499998</v>
      </c>
    </row>
    <row r="202" spans="1:11" ht="13.8" x14ac:dyDescent="0.25">
      <c r="A202" s="47" t="s">
        <v>267</v>
      </c>
      <c r="B202" s="47"/>
      <c r="C202" s="47"/>
      <c r="D202" s="47"/>
      <c r="E202" s="47"/>
      <c r="F202" s="47"/>
      <c r="G202" s="47"/>
      <c r="K202" s="66">
        <f>K201*0.2</f>
        <v>137249.59756999995</v>
      </c>
    </row>
    <row r="203" spans="1:11" ht="13.8" x14ac:dyDescent="0.25">
      <c r="A203" s="51" t="s">
        <v>268</v>
      </c>
      <c r="B203" s="51"/>
      <c r="C203" s="51"/>
      <c r="D203" s="51"/>
      <c r="E203" s="51"/>
      <c r="F203" s="51"/>
      <c r="G203" s="51"/>
      <c r="K203" s="67">
        <f>K201+K202</f>
        <v>823497.58541999978</v>
      </c>
    </row>
    <row r="207" spans="1:11" ht="13.8" x14ac:dyDescent="0.25">
      <c r="A207" s="45" t="s">
        <v>260</v>
      </c>
      <c r="B207" s="45"/>
      <c r="C207" s="44" t="str">
        <f>IF(Source!AC12&lt;&gt;"", Source!AC12," ")</f>
        <v xml:space="preserve"> </v>
      </c>
      <c r="D207" s="44"/>
      <c r="E207" s="44"/>
      <c r="F207" s="44"/>
      <c r="G207" s="44"/>
      <c r="H207" s="10"/>
      <c r="I207" s="10"/>
      <c r="J207" s="10"/>
      <c r="K207" s="10"/>
    </row>
    <row r="208" spans="1:11" ht="14.25" x14ac:dyDescent="0.2">
      <c r="A208" s="10"/>
      <c r="B208" s="10"/>
      <c r="C208" s="46" t="s">
        <v>261</v>
      </c>
      <c r="D208" s="46"/>
      <c r="E208" s="46"/>
      <c r="F208" s="46"/>
      <c r="G208" s="46"/>
      <c r="H208" s="10"/>
      <c r="I208" s="10"/>
      <c r="J208" s="10"/>
      <c r="K208" s="10"/>
    </row>
    <row r="209" spans="1:11" ht="13.8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3.8" x14ac:dyDescent="0.25">
      <c r="A210" s="45" t="s">
        <v>262</v>
      </c>
      <c r="B210" s="45"/>
      <c r="C210" s="44" t="str">
        <f>IF(Source!AE12&lt;&gt;"", Source!AE12," ")</f>
        <v xml:space="preserve"> </v>
      </c>
      <c r="D210" s="44"/>
      <c r="E210" s="44"/>
      <c r="F210" s="44"/>
      <c r="G210" s="44"/>
      <c r="H210" s="10"/>
      <c r="I210" s="10"/>
      <c r="J210" s="10"/>
      <c r="K210" s="10"/>
    </row>
    <row r="211" spans="1:11" ht="13.8" x14ac:dyDescent="0.25">
      <c r="A211" s="10"/>
      <c r="B211" s="10"/>
      <c r="C211" s="46" t="s">
        <v>261</v>
      </c>
      <c r="D211" s="46"/>
      <c r="E211" s="46"/>
      <c r="F211" s="46"/>
      <c r="G211" s="46"/>
      <c r="H211" s="10"/>
      <c r="I211" s="10"/>
      <c r="J211" s="10"/>
      <c r="K211" s="10"/>
    </row>
  </sheetData>
  <mergeCells count="108">
    <mergeCell ref="F14:H14"/>
    <mergeCell ref="F15:H15"/>
    <mergeCell ref="F16:H16"/>
    <mergeCell ref="F17:H17"/>
    <mergeCell ref="F18:H18"/>
    <mergeCell ref="F19:H19"/>
    <mergeCell ref="A3:K3"/>
    <mergeCell ref="A4:K4"/>
    <mergeCell ref="A6:K6"/>
    <mergeCell ref="A8:K8"/>
    <mergeCell ref="A9:K9"/>
    <mergeCell ref="A11:K11"/>
    <mergeCell ref="J50:K50"/>
    <mergeCell ref="H50:I50"/>
    <mergeCell ref="J61:K61"/>
    <mergeCell ref="H61:I61"/>
    <mergeCell ref="J72:K72"/>
    <mergeCell ref="H72:I72"/>
    <mergeCell ref="F20:H20"/>
    <mergeCell ref="F22:H22"/>
    <mergeCell ref="A25:K25"/>
    <mergeCell ref="A29:K29"/>
    <mergeCell ref="J39:K39"/>
    <mergeCell ref="H39:I39"/>
    <mergeCell ref="J105:K105"/>
    <mergeCell ref="H105:I105"/>
    <mergeCell ref="J109:K109"/>
    <mergeCell ref="H109:I109"/>
    <mergeCell ref="J121:K121"/>
    <mergeCell ref="H121:I121"/>
    <mergeCell ref="J85:K85"/>
    <mergeCell ref="H85:I85"/>
    <mergeCell ref="J97:K97"/>
    <mergeCell ref="H97:I97"/>
    <mergeCell ref="J101:K101"/>
    <mergeCell ref="H101:I101"/>
    <mergeCell ref="A131:G131"/>
    <mergeCell ref="A135:K135"/>
    <mergeCell ref="J137:K137"/>
    <mergeCell ref="H137:I137"/>
    <mergeCell ref="J140:K140"/>
    <mergeCell ref="H140:I140"/>
    <mergeCell ref="J125:K125"/>
    <mergeCell ref="H125:I125"/>
    <mergeCell ref="J128:K128"/>
    <mergeCell ref="H128:I128"/>
    <mergeCell ref="J131:K131"/>
    <mergeCell ref="H131:I131"/>
    <mergeCell ref="J152:K152"/>
    <mergeCell ref="H152:I152"/>
    <mergeCell ref="J155:K155"/>
    <mergeCell ref="H155:I155"/>
    <mergeCell ref="J158:K158"/>
    <mergeCell ref="H158:I158"/>
    <mergeCell ref="J143:K143"/>
    <mergeCell ref="H143:I143"/>
    <mergeCell ref="J146:K146"/>
    <mergeCell ref="H146:I146"/>
    <mergeCell ref="J149:K149"/>
    <mergeCell ref="H149:I149"/>
    <mergeCell ref="J170:K170"/>
    <mergeCell ref="H170:I170"/>
    <mergeCell ref="J173:K173"/>
    <mergeCell ref="H173:I173"/>
    <mergeCell ref="J178:K178"/>
    <mergeCell ref="H178:I178"/>
    <mergeCell ref="J161:K161"/>
    <mergeCell ref="H161:I161"/>
    <mergeCell ref="J164:K164"/>
    <mergeCell ref="H164:I164"/>
    <mergeCell ref="J167:K167"/>
    <mergeCell ref="H167:I167"/>
    <mergeCell ref="C185:I185"/>
    <mergeCell ref="J185:K185"/>
    <mergeCell ref="C186:I186"/>
    <mergeCell ref="J186:K186"/>
    <mergeCell ref="C187:I187"/>
    <mergeCell ref="J187:K187"/>
    <mergeCell ref="A178:G178"/>
    <mergeCell ref="J182:K182"/>
    <mergeCell ref="H182:I182"/>
    <mergeCell ref="A182:G182"/>
    <mergeCell ref="C191:I191"/>
    <mergeCell ref="J191:K191"/>
    <mergeCell ref="C192:I192"/>
    <mergeCell ref="J192:K192"/>
    <mergeCell ref="C193:I193"/>
    <mergeCell ref="J193:K193"/>
    <mergeCell ref="C188:I188"/>
    <mergeCell ref="J188:K188"/>
    <mergeCell ref="C189:I189"/>
    <mergeCell ref="J189:K189"/>
    <mergeCell ref="C190:I190"/>
    <mergeCell ref="J190:K190"/>
    <mergeCell ref="A207:B207"/>
    <mergeCell ref="C208:G208"/>
    <mergeCell ref="A210:B210"/>
    <mergeCell ref="C211:G211"/>
    <mergeCell ref="C194:I194"/>
    <mergeCell ref="J194:K194"/>
    <mergeCell ref="C195:I195"/>
    <mergeCell ref="J195:K195"/>
    <mergeCell ref="J197:K197"/>
    <mergeCell ref="H197:I197"/>
    <mergeCell ref="A197:G197"/>
    <mergeCell ref="A201:G201"/>
    <mergeCell ref="A202:G202"/>
    <mergeCell ref="A203:G203"/>
  </mergeCells>
  <pageMargins left="0.4" right="0.2" top="0.4" bottom="0.4" header="0.2" footer="0.2"/>
  <pageSetup paperSize="9" scale="64" fitToHeight="0" orientation="portrait" r:id="rId1"/>
  <headerFooter>
    <oddHeader>&amp;L&amp;8АО "ИнжЭнергоПроект"  Доп. раб. место  FStS-0037067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28"/>
  <sheetViews>
    <sheetView workbookViewId="0">
      <selection activeCell="G20" sqref="G20"/>
    </sheetView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37067</v>
      </c>
      <c r="M1">
        <v>10</v>
      </c>
      <c r="N1">
        <v>11</v>
      </c>
      <c r="O1">
        <v>0</v>
      </c>
      <c r="P1">
        <v>1</v>
      </c>
      <c r="Q1">
        <v>6</v>
      </c>
    </row>
    <row r="12" spans="1:133" x14ac:dyDescent="0.25">
      <c r="A12" s="1">
        <v>1</v>
      </c>
      <c r="B12" s="1">
        <v>223</v>
      </c>
      <c r="C12" s="1">
        <v>0</v>
      </c>
      <c r="D12" s="1">
        <f>ROW(A188)</f>
        <v>188</v>
      </c>
      <c r="E12" s="1">
        <v>0</v>
      </c>
      <c r="F12" s="1" t="s">
        <v>4</v>
      </c>
      <c r="G12" s="1"/>
      <c r="H12" s="1" t="s">
        <v>4</v>
      </c>
      <c r="I12" s="1">
        <v>0</v>
      </c>
      <c r="J12" s="1" t="s">
        <v>4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4</v>
      </c>
      <c r="V12" s="1">
        <v>0</v>
      </c>
      <c r="W12" s="1" t="s">
        <v>4</v>
      </c>
      <c r="X12" s="1" t="s">
        <v>4</v>
      </c>
      <c r="Y12" s="1" t="s">
        <v>4</v>
      </c>
      <c r="Z12" s="1" t="s">
        <v>4</v>
      </c>
      <c r="AA12" s="1" t="s">
        <v>4</v>
      </c>
      <c r="AB12" s="1" t="s">
        <v>6</v>
      </c>
      <c r="AC12" s="1" t="s">
        <v>4</v>
      </c>
      <c r="AD12" s="1" t="s">
        <v>7</v>
      </c>
      <c r="AE12" s="1" t="s">
        <v>4</v>
      </c>
      <c r="AF12" s="1" t="s">
        <v>4</v>
      </c>
      <c r="AG12" s="1" t="s">
        <v>4</v>
      </c>
      <c r="AH12" s="1" t="s">
        <v>4</v>
      </c>
      <c r="AI12" s="1" t="s">
        <v>4</v>
      </c>
      <c r="AJ12" s="1" t="s">
        <v>4</v>
      </c>
      <c r="AK12" s="1"/>
      <c r="AL12" s="1" t="s">
        <v>4</v>
      </c>
      <c r="AM12" s="1" t="s">
        <v>4</v>
      </c>
      <c r="AN12" s="1" t="s">
        <v>4</v>
      </c>
      <c r="AO12" s="1"/>
      <c r="AP12" s="1" t="s">
        <v>4</v>
      </c>
      <c r="AQ12" s="1" t="s">
        <v>4</v>
      </c>
      <c r="AR12" s="1" t="s">
        <v>4</v>
      </c>
      <c r="AS12" s="1"/>
      <c r="AT12" s="1"/>
      <c r="AU12" s="1"/>
      <c r="AV12" s="1"/>
      <c r="AW12" s="1"/>
      <c r="AX12" s="1" t="s">
        <v>4</v>
      </c>
      <c r="AY12" s="1" t="s">
        <v>4</v>
      </c>
      <c r="AZ12" s="1" t="s">
        <v>4</v>
      </c>
      <c r="BA12" s="1"/>
      <c r="BB12" s="1"/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4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8200</v>
      </c>
      <c r="CI12" s="1" t="s">
        <v>4</v>
      </c>
      <c r="CJ12" s="1" t="s">
        <v>4</v>
      </c>
      <c r="CK12" s="1">
        <v>60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5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5">
      <c r="A18" s="2">
        <v>52</v>
      </c>
      <c r="B18" s="2">
        <f t="shared" ref="B18:G18" si="0">B188</f>
        <v>223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/>
      </c>
      <c r="G18" s="2" t="str">
        <f t="shared" si="0"/>
        <v/>
      </c>
      <c r="H18" s="2"/>
      <c r="I18" s="2"/>
      <c r="J18" s="2"/>
      <c r="K18" s="2"/>
      <c r="L18" s="2"/>
      <c r="M18" s="2"/>
      <c r="N18" s="2"/>
      <c r="O18" s="2">
        <f t="shared" ref="O18:AT18" si="1">O188</f>
        <v>577844.68999999994</v>
      </c>
      <c r="P18" s="2">
        <f t="shared" si="1"/>
        <v>497925.65</v>
      </c>
      <c r="Q18" s="2">
        <f t="shared" si="1"/>
        <v>1500.12</v>
      </c>
      <c r="R18" s="2">
        <f t="shared" si="1"/>
        <v>498.58</v>
      </c>
      <c r="S18" s="2">
        <f t="shared" si="1"/>
        <v>78418.92</v>
      </c>
      <c r="T18" s="2">
        <f t="shared" si="1"/>
        <v>0</v>
      </c>
      <c r="U18" s="2">
        <f t="shared" si="1"/>
        <v>236.14442423999992</v>
      </c>
      <c r="V18" s="2">
        <f t="shared" si="1"/>
        <v>0</v>
      </c>
      <c r="W18" s="2">
        <f t="shared" si="1"/>
        <v>0</v>
      </c>
      <c r="X18" s="2">
        <f t="shared" si="1"/>
        <v>70577.039999999994</v>
      </c>
      <c r="Y18" s="2">
        <f t="shared" si="1"/>
        <v>33624.83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454918.13</v>
      </c>
      <c r="AQ18" s="2">
        <f t="shared" si="1"/>
        <v>0</v>
      </c>
      <c r="AR18" s="2">
        <f t="shared" si="1"/>
        <v>682829.32</v>
      </c>
      <c r="AS18" s="2">
        <f t="shared" si="1"/>
        <v>0</v>
      </c>
      <c r="AT18" s="2">
        <f t="shared" si="1"/>
        <v>227911.19</v>
      </c>
      <c r="AU18" s="2">
        <f t="shared" ref="AU18:BZ18" si="2">AU188</f>
        <v>0</v>
      </c>
      <c r="AV18" s="2">
        <f t="shared" si="2"/>
        <v>497925.65</v>
      </c>
      <c r="AW18" s="2">
        <f t="shared" si="2"/>
        <v>43007.519999999997</v>
      </c>
      <c r="AX18" s="2">
        <f t="shared" si="2"/>
        <v>0</v>
      </c>
      <c r="AY18" s="2">
        <f t="shared" si="2"/>
        <v>43007.519999999997</v>
      </c>
      <c r="AZ18" s="2">
        <f t="shared" si="2"/>
        <v>454918.13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CA188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DG188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EM188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FS188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5">
      <c r="A20" s="1">
        <v>3</v>
      </c>
      <c r="B20" s="1">
        <v>1</v>
      </c>
      <c r="C20" s="1"/>
      <c r="D20" s="1">
        <f>ROW(A158)</f>
        <v>158</v>
      </c>
      <c r="E20" s="1"/>
      <c r="F20" s="1"/>
      <c r="G20" s="1"/>
      <c r="H20" s="1" t="s">
        <v>4</v>
      </c>
      <c r="I20" s="1">
        <v>0</v>
      </c>
      <c r="J20" s="1" t="s">
        <v>15</v>
      </c>
      <c r="K20" s="1">
        <v>-1</v>
      </c>
      <c r="L20" s="1" t="s">
        <v>4</v>
      </c>
      <c r="M20" s="1"/>
      <c r="N20" s="1"/>
      <c r="O20" s="1"/>
      <c r="P20" s="1"/>
      <c r="Q20" s="1"/>
      <c r="R20" s="1"/>
      <c r="S20" s="1"/>
      <c r="T20" s="1"/>
      <c r="U20" s="1" t="s">
        <v>4</v>
      </c>
      <c r="V20" s="1">
        <v>0</v>
      </c>
      <c r="W20" s="1"/>
      <c r="X20" s="1"/>
      <c r="Y20" s="1"/>
      <c r="Z20" s="1"/>
      <c r="AA20" s="1"/>
      <c r="AB20" s="1" t="s">
        <v>4</v>
      </c>
      <c r="AC20" s="1" t="s">
        <v>4</v>
      </c>
      <c r="AD20" s="1" t="s">
        <v>4</v>
      </c>
      <c r="AE20" s="1" t="s">
        <v>4</v>
      </c>
      <c r="AF20" s="1" t="s">
        <v>4</v>
      </c>
      <c r="AG20" s="1" t="s">
        <v>4</v>
      </c>
      <c r="AH20" s="1"/>
      <c r="AI20" s="1"/>
      <c r="AJ20" s="1"/>
      <c r="AK20" s="1"/>
      <c r="AL20" s="1"/>
      <c r="AM20" s="1"/>
      <c r="AN20" s="1"/>
      <c r="AO20" s="1"/>
      <c r="AP20" s="1" t="s">
        <v>4</v>
      </c>
      <c r="AQ20" s="1" t="s">
        <v>4</v>
      </c>
      <c r="AR20" s="1" t="s">
        <v>4</v>
      </c>
      <c r="AS20" s="1"/>
      <c r="AT20" s="1"/>
      <c r="AU20" s="1"/>
      <c r="AV20" s="1"/>
      <c r="AW20" s="1"/>
      <c r="AX20" s="1"/>
      <c r="AY20" s="1"/>
      <c r="AZ20" s="1" t="s">
        <v>4</v>
      </c>
      <c r="BA20" s="1"/>
      <c r="BB20" s="1" t="s">
        <v>4</v>
      </c>
      <c r="BC20" s="1" t="s">
        <v>4</v>
      </c>
      <c r="BD20" s="1" t="s">
        <v>4</v>
      </c>
      <c r="BE20" s="1" t="s">
        <v>4</v>
      </c>
      <c r="BF20" s="1" t="s">
        <v>4</v>
      </c>
      <c r="BG20" s="1" t="s">
        <v>4</v>
      </c>
      <c r="BH20" s="1" t="s">
        <v>4</v>
      </c>
      <c r="BI20" s="1" t="s">
        <v>4</v>
      </c>
      <c r="BJ20" s="1" t="s">
        <v>4</v>
      </c>
      <c r="BK20" s="1" t="s">
        <v>4</v>
      </c>
      <c r="BL20" s="1" t="s">
        <v>4</v>
      </c>
      <c r="BM20" s="1" t="s">
        <v>4</v>
      </c>
      <c r="BN20" s="1" t="s">
        <v>4</v>
      </c>
      <c r="BO20" s="1" t="s">
        <v>4</v>
      </c>
      <c r="BP20" s="1" t="s">
        <v>4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4</v>
      </c>
      <c r="CJ20" s="1" t="s">
        <v>4</v>
      </c>
      <c r="CK20" t="s">
        <v>4</v>
      </c>
      <c r="CL20" t="s">
        <v>4</v>
      </c>
      <c r="CM20" t="s">
        <v>4</v>
      </c>
      <c r="CN20" t="s">
        <v>4</v>
      </c>
      <c r="CO20" t="s">
        <v>4</v>
      </c>
      <c r="CP20" t="s">
        <v>4</v>
      </c>
    </row>
    <row r="22" spans="1:245" x14ac:dyDescent="0.25">
      <c r="A22" s="2">
        <v>52</v>
      </c>
      <c r="B22" s="2">
        <f t="shared" ref="B22:G22" si="7">B158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/>
      </c>
      <c r="G22" s="2" t="str">
        <f t="shared" si="7"/>
        <v/>
      </c>
      <c r="H22" s="2"/>
      <c r="I22" s="2"/>
      <c r="J22" s="2"/>
      <c r="K22" s="2"/>
      <c r="L22" s="2"/>
      <c r="M22" s="2"/>
      <c r="N22" s="2"/>
      <c r="O22" s="2">
        <f t="shared" ref="O22:AT22" si="8">O158</f>
        <v>577844.68999999994</v>
      </c>
      <c r="P22" s="2">
        <f t="shared" si="8"/>
        <v>497925.65</v>
      </c>
      <c r="Q22" s="2">
        <f t="shared" si="8"/>
        <v>1500.12</v>
      </c>
      <c r="R22" s="2">
        <f t="shared" si="8"/>
        <v>498.58</v>
      </c>
      <c r="S22" s="2">
        <f t="shared" si="8"/>
        <v>78418.92</v>
      </c>
      <c r="T22" s="2">
        <f t="shared" si="8"/>
        <v>0</v>
      </c>
      <c r="U22" s="2">
        <f t="shared" si="8"/>
        <v>236.14442423999992</v>
      </c>
      <c r="V22" s="2">
        <f t="shared" si="8"/>
        <v>0</v>
      </c>
      <c r="W22" s="2">
        <f t="shared" si="8"/>
        <v>0</v>
      </c>
      <c r="X22" s="2">
        <f t="shared" si="8"/>
        <v>70577.039999999994</v>
      </c>
      <c r="Y22" s="2">
        <f t="shared" si="8"/>
        <v>33624.83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454918.13</v>
      </c>
      <c r="AQ22" s="2">
        <f t="shared" si="8"/>
        <v>0</v>
      </c>
      <c r="AR22" s="2">
        <f t="shared" si="8"/>
        <v>682829.32</v>
      </c>
      <c r="AS22" s="2">
        <f t="shared" si="8"/>
        <v>0</v>
      </c>
      <c r="AT22" s="2">
        <f t="shared" si="8"/>
        <v>227911.19</v>
      </c>
      <c r="AU22" s="2">
        <f t="shared" ref="AU22:BZ22" si="9">AU158</f>
        <v>0</v>
      </c>
      <c r="AV22" s="2">
        <f t="shared" si="9"/>
        <v>497925.65</v>
      </c>
      <c r="AW22" s="2">
        <f t="shared" si="9"/>
        <v>43007.519999999997</v>
      </c>
      <c r="AX22" s="2">
        <f t="shared" si="9"/>
        <v>0</v>
      </c>
      <c r="AY22" s="2">
        <f t="shared" si="9"/>
        <v>43007.519999999997</v>
      </c>
      <c r="AZ22" s="2">
        <f t="shared" si="9"/>
        <v>454918.13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CA158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DG158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EM158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FS158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5">
      <c r="A24" s="1">
        <v>4</v>
      </c>
      <c r="B24" s="1">
        <v>1</v>
      </c>
      <c r="C24" s="1"/>
      <c r="D24" s="1">
        <f>ROW(A42)</f>
        <v>42</v>
      </c>
      <c r="E24" s="1"/>
      <c r="F24" s="1" t="s">
        <v>16</v>
      </c>
      <c r="G24" s="1" t="s">
        <v>17</v>
      </c>
      <c r="H24" s="1" t="s">
        <v>4</v>
      </c>
      <c r="I24" s="1">
        <v>0</v>
      </c>
      <c r="J24" s="1"/>
      <c r="K24" s="1">
        <v>-1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4</v>
      </c>
      <c r="V24" s="1">
        <v>0</v>
      </c>
      <c r="W24" s="1"/>
      <c r="X24" s="1"/>
      <c r="Y24" s="1"/>
      <c r="Z24" s="1"/>
      <c r="AA24" s="1"/>
      <c r="AB24" s="1" t="s">
        <v>4</v>
      </c>
      <c r="AC24" s="1" t="s">
        <v>4</v>
      </c>
      <c r="AD24" s="1" t="s">
        <v>4</v>
      </c>
      <c r="AE24" s="1" t="s">
        <v>4</v>
      </c>
      <c r="AF24" s="1" t="s">
        <v>4</v>
      </c>
      <c r="AG24" s="1" t="s">
        <v>4</v>
      </c>
      <c r="AH24" s="1"/>
      <c r="AI24" s="1"/>
      <c r="AJ24" s="1"/>
      <c r="AK24" s="1"/>
      <c r="AL24" s="1"/>
      <c r="AM24" s="1"/>
      <c r="AN24" s="1"/>
      <c r="AO24" s="1"/>
      <c r="AP24" s="1" t="s">
        <v>4</v>
      </c>
      <c r="AQ24" s="1" t="s">
        <v>4</v>
      </c>
      <c r="AR24" s="1" t="s">
        <v>4</v>
      </c>
      <c r="AS24" s="1"/>
      <c r="AT24" s="1"/>
      <c r="AU24" s="1"/>
      <c r="AV24" s="1"/>
      <c r="AW24" s="1"/>
      <c r="AX24" s="1"/>
      <c r="AY24" s="1"/>
      <c r="AZ24" s="1" t="s">
        <v>4</v>
      </c>
      <c r="BA24" s="1"/>
      <c r="BB24" s="1" t="s">
        <v>4</v>
      </c>
      <c r="BC24" s="1" t="s">
        <v>4</v>
      </c>
      <c r="BD24" s="1" t="s">
        <v>4</v>
      </c>
      <c r="BE24" s="1" t="s">
        <v>4</v>
      </c>
      <c r="BF24" s="1" t="s">
        <v>4</v>
      </c>
      <c r="BG24" s="1" t="s">
        <v>4</v>
      </c>
      <c r="BH24" s="1" t="s">
        <v>4</v>
      </c>
      <c r="BI24" s="1" t="s">
        <v>4</v>
      </c>
      <c r="BJ24" s="1" t="s">
        <v>4</v>
      </c>
      <c r="BK24" s="1" t="s">
        <v>4</v>
      </c>
      <c r="BL24" s="1" t="s">
        <v>4</v>
      </c>
      <c r="BM24" s="1" t="s">
        <v>4</v>
      </c>
      <c r="BN24" s="1" t="s">
        <v>4</v>
      </c>
      <c r="BO24" s="1" t="s">
        <v>4</v>
      </c>
      <c r="BP24" s="1" t="s">
        <v>4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5">
      <c r="A26" s="2">
        <v>52</v>
      </c>
      <c r="B26" s="2">
        <f t="shared" ref="B26:G26" si="14">B42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1</v>
      </c>
      <c r="G26" s="2" t="str">
        <f t="shared" si="14"/>
        <v>Монтажные работы и материалы</v>
      </c>
      <c r="H26" s="2"/>
      <c r="I26" s="2"/>
      <c r="J26" s="2"/>
      <c r="K26" s="2"/>
      <c r="L26" s="2"/>
      <c r="M26" s="2"/>
      <c r="N26" s="2"/>
      <c r="O26" s="2">
        <f t="shared" ref="O26:AT26" si="15">O42</f>
        <v>122926.56</v>
      </c>
      <c r="P26" s="2">
        <f t="shared" si="15"/>
        <v>43007.519999999997</v>
      </c>
      <c r="Q26" s="2">
        <f t="shared" si="15"/>
        <v>1500.12</v>
      </c>
      <c r="R26" s="2">
        <f t="shared" si="15"/>
        <v>498.58</v>
      </c>
      <c r="S26" s="2">
        <f t="shared" si="15"/>
        <v>78418.92</v>
      </c>
      <c r="T26" s="2">
        <f t="shared" si="15"/>
        <v>0</v>
      </c>
      <c r="U26" s="2">
        <f t="shared" si="15"/>
        <v>236.14442423999992</v>
      </c>
      <c r="V26" s="2">
        <f t="shared" si="15"/>
        <v>0</v>
      </c>
      <c r="W26" s="2">
        <f t="shared" si="15"/>
        <v>0</v>
      </c>
      <c r="X26" s="2">
        <f t="shared" si="15"/>
        <v>70577.039999999994</v>
      </c>
      <c r="Y26" s="2">
        <f t="shared" si="15"/>
        <v>33624.83</v>
      </c>
      <c r="Z26" s="2">
        <f t="shared" si="15"/>
        <v>0</v>
      </c>
      <c r="AA26" s="2">
        <f t="shared" si="15"/>
        <v>0</v>
      </c>
      <c r="AB26" s="2">
        <f t="shared" si="15"/>
        <v>122926.56</v>
      </c>
      <c r="AC26" s="2">
        <f t="shared" si="15"/>
        <v>43007.519999999997</v>
      </c>
      <c r="AD26" s="2">
        <f t="shared" si="15"/>
        <v>1500.12</v>
      </c>
      <c r="AE26" s="2">
        <f t="shared" si="15"/>
        <v>498.58</v>
      </c>
      <c r="AF26" s="2">
        <f t="shared" si="15"/>
        <v>78418.92</v>
      </c>
      <c r="AG26" s="2">
        <f t="shared" si="15"/>
        <v>0</v>
      </c>
      <c r="AH26" s="2">
        <f t="shared" si="15"/>
        <v>236.14442423999992</v>
      </c>
      <c r="AI26" s="2">
        <f t="shared" si="15"/>
        <v>0</v>
      </c>
      <c r="AJ26" s="2">
        <f t="shared" si="15"/>
        <v>0</v>
      </c>
      <c r="AK26" s="2">
        <f t="shared" si="15"/>
        <v>70577.039999999994</v>
      </c>
      <c r="AL26" s="2">
        <f t="shared" si="15"/>
        <v>33624.83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227911.19</v>
      </c>
      <c r="AS26" s="2">
        <f t="shared" si="15"/>
        <v>0</v>
      </c>
      <c r="AT26" s="2">
        <f t="shared" si="15"/>
        <v>227911.19</v>
      </c>
      <c r="AU26" s="2">
        <f t="shared" ref="AU26:BZ26" si="16">AU42</f>
        <v>0</v>
      </c>
      <c r="AV26" s="2">
        <f t="shared" si="16"/>
        <v>43007.519999999997</v>
      </c>
      <c r="AW26" s="2">
        <f t="shared" si="16"/>
        <v>43007.519999999997</v>
      </c>
      <c r="AX26" s="2">
        <f t="shared" si="16"/>
        <v>0</v>
      </c>
      <c r="AY26" s="2">
        <f t="shared" si="16"/>
        <v>43007.519999999997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CA42</f>
        <v>227911.19</v>
      </c>
      <c r="CB26" s="2">
        <f t="shared" si="17"/>
        <v>0</v>
      </c>
      <c r="CC26" s="2">
        <f t="shared" si="17"/>
        <v>227911.19</v>
      </c>
      <c r="CD26" s="2">
        <f t="shared" si="17"/>
        <v>0</v>
      </c>
      <c r="CE26" s="2">
        <f t="shared" si="17"/>
        <v>43007.519999999997</v>
      </c>
      <c r="CF26" s="2">
        <f t="shared" si="17"/>
        <v>43007.519999999997</v>
      </c>
      <c r="CG26" s="2">
        <f t="shared" si="17"/>
        <v>0</v>
      </c>
      <c r="CH26" s="2">
        <f t="shared" si="17"/>
        <v>43007.519999999997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DG42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EM42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FS42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5">
      <c r="A28">
        <v>17</v>
      </c>
      <c r="B28">
        <v>1</v>
      </c>
      <c r="C28">
        <f>ROW(SmtRes!A1)</f>
        <v>1</v>
      </c>
      <c r="D28">
        <f>ROW(EtalonRes!A1)</f>
        <v>1</v>
      </c>
      <c r="E28" t="s">
        <v>16</v>
      </c>
      <c r="F28" t="s">
        <v>18</v>
      </c>
      <c r="G28" t="s">
        <v>19</v>
      </c>
      <c r="H28" t="s">
        <v>20</v>
      </c>
      <c r="I28">
        <v>2</v>
      </c>
      <c r="J28">
        <v>0</v>
      </c>
      <c r="O28">
        <f t="shared" ref="O28:O40" si="21">ROUND(CP28,2)</f>
        <v>4716.49</v>
      </c>
      <c r="P28">
        <f t="shared" ref="P28:P40" si="22">ROUND((ROUND((AC28*AW28*I28),2)*BC28),2)</f>
        <v>264.32</v>
      </c>
      <c r="Q28">
        <f>(ROUND((ROUND(((((ET28*1.2)*1.15))*AV28*I28),2)*BB28),2)+ROUND((ROUND(((AE28-(((EU28*1.2)*1.15)))*AV28*I28),2)*BS28),2))</f>
        <v>110.21</v>
      </c>
      <c r="R28">
        <f t="shared" ref="R28:R40" si="23">ROUND((ROUND((AE28*AV28*I28),2)*BS28),2)</f>
        <v>47.24</v>
      </c>
      <c r="S28">
        <f t="shared" ref="S28:S40" si="24">ROUND((ROUND((AF28*AV28*I28),2)*BA28),2)</f>
        <v>4341.96</v>
      </c>
      <c r="T28">
        <f t="shared" ref="T28:T40" si="25">ROUND(CU28*I28,2)</f>
        <v>0</v>
      </c>
      <c r="U28">
        <f t="shared" ref="U28:U40" si="26">CV28*I28</f>
        <v>14.882057999999999</v>
      </c>
      <c r="V28">
        <f t="shared" ref="V28:V40" si="27">CW28*I28</f>
        <v>0</v>
      </c>
      <c r="W28">
        <f t="shared" ref="W28:W40" si="28">ROUND(CX28*I28,2)</f>
        <v>0</v>
      </c>
      <c r="X28">
        <f t="shared" ref="X28:X40" si="29">ROUND(CY28,2)</f>
        <v>3907.76</v>
      </c>
      <c r="Y28">
        <f t="shared" ref="Y28:Y40" si="30">ROUND(CZ28,2)</f>
        <v>1780.2</v>
      </c>
      <c r="AA28">
        <v>40520239</v>
      </c>
      <c r="AB28">
        <f t="shared" ref="AB28:AB40" si="31">ROUND((AC28+AD28+AF28),6)</f>
        <v>110.02979999999999</v>
      </c>
      <c r="AC28">
        <f t="shared" ref="AC28:AC40" si="32">ROUND((ES28),6)</f>
        <v>21.42</v>
      </c>
      <c r="AD28">
        <f>ROUND((((((ET28*1.2)*1.15))-(((EU28*1.2)*1.15)))+AE28),6)</f>
        <v>6.0995999999999997</v>
      </c>
      <c r="AE28">
        <f t="shared" ref="AE28:AF32" si="33">ROUND((((EU28*1.2)*1.15)),6)</f>
        <v>0.89700000000000002</v>
      </c>
      <c r="AF28">
        <f t="shared" si="33"/>
        <v>82.510199999999998</v>
      </c>
      <c r="AG28">
        <f t="shared" ref="AG28:AG40" si="34">ROUND((AP28),6)</f>
        <v>0</v>
      </c>
      <c r="AH28">
        <f t="shared" ref="AH28:AI32" si="35">(((EW28*1.2)*1.15))</f>
        <v>7.1070000000000002</v>
      </c>
      <c r="AI28">
        <f t="shared" si="35"/>
        <v>0</v>
      </c>
      <c r="AJ28">
        <f t="shared" ref="AJ28:AJ40" si="36">(AS28)</f>
        <v>0</v>
      </c>
      <c r="AK28">
        <v>85.63</v>
      </c>
      <c r="AL28">
        <v>21.42</v>
      </c>
      <c r="AM28">
        <v>4.42</v>
      </c>
      <c r="AN28">
        <v>0.65</v>
      </c>
      <c r="AO28">
        <v>59.79</v>
      </c>
      <c r="AP28">
        <v>0</v>
      </c>
      <c r="AQ28">
        <v>5.15</v>
      </c>
      <c r="AR28">
        <v>0</v>
      </c>
      <c r="AS28">
        <v>0</v>
      </c>
      <c r="AT28">
        <v>90</v>
      </c>
      <c r="AU28">
        <v>41</v>
      </c>
      <c r="AV28">
        <v>1.0469999999999999</v>
      </c>
      <c r="AW28">
        <v>1</v>
      </c>
      <c r="AZ28">
        <v>1</v>
      </c>
      <c r="BA28">
        <v>25.13</v>
      </c>
      <c r="BB28">
        <v>8.6300000000000008</v>
      </c>
      <c r="BC28">
        <v>6.17</v>
      </c>
      <c r="BD28" t="s">
        <v>4</v>
      </c>
      <c r="BE28" t="s">
        <v>4</v>
      </c>
      <c r="BF28" t="s">
        <v>4</v>
      </c>
      <c r="BG28" t="s">
        <v>4</v>
      </c>
      <c r="BH28">
        <v>0</v>
      </c>
      <c r="BI28">
        <v>2</v>
      </c>
      <c r="BJ28" t="s">
        <v>21</v>
      </c>
      <c r="BM28">
        <v>355</v>
      </c>
      <c r="BN28">
        <v>0</v>
      </c>
      <c r="BO28" t="s">
        <v>18</v>
      </c>
      <c r="BP28">
        <v>1</v>
      </c>
      <c r="BQ28">
        <v>40</v>
      </c>
      <c r="BR28">
        <v>0</v>
      </c>
      <c r="BS28">
        <v>25.13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4</v>
      </c>
      <c r="BZ28">
        <v>90</v>
      </c>
      <c r="CA28">
        <v>41</v>
      </c>
      <c r="CE28">
        <v>30</v>
      </c>
      <c r="CF28">
        <v>0</v>
      </c>
      <c r="CG28">
        <v>0</v>
      </c>
      <c r="CM28">
        <v>0</v>
      </c>
      <c r="CN28" t="s">
        <v>209</v>
      </c>
      <c r="CO28">
        <v>0</v>
      </c>
      <c r="CP28">
        <f t="shared" ref="CP28:CP40" si="37">(P28+Q28+S28)</f>
        <v>4716.49</v>
      </c>
      <c r="CQ28">
        <f t="shared" ref="CQ28:CQ40" si="38">ROUND((ROUND((AC28*AW28*1),2)*BC28),2)</f>
        <v>132.16</v>
      </c>
      <c r="CR28">
        <f>(ROUND((ROUND(((((ET28*1.2)*1.15))*AV28*1),2)*BB28),2)+ROUND((ROUND(((AE28-(((EU28*1.2)*1.15)))*AV28*1),2)*BS28),2))</f>
        <v>55.15</v>
      </c>
      <c r="CS28">
        <f t="shared" ref="CS28:CS40" si="39">ROUND((ROUND((AE28*AV28*1),2)*BS28),2)</f>
        <v>23.62</v>
      </c>
      <c r="CT28">
        <f t="shared" ref="CT28:CT40" si="40">ROUND((ROUND((AF28*AV28*1),2)*BA28),2)</f>
        <v>2170.98</v>
      </c>
      <c r="CU28">
        <f t="shared" ref="CU28:CU40" si="41">AG28</f>
        <v>0</v>
      </c>
      <c r="CV28">
        <f t="shared" ref="CV28:CV40" si="42">(AH28*AV28)</f>
        <v>7.4410289999999994</v>
      </c>
      <c r="CW28">
        <f t="shared" ref="CW28:CW40" si="43">AI28</f>
        <v>0</v>
      </c>
      <c r="CX28">
        <f t="shared" ref="CX28:CX40" si="44">AJ28</f>
        <v>0</v>
      </c>
      <c r="CY28">
        <f t="shared" ref="CY28:CY40" si="45">S28*(BZ28/100)</f>
        <v>3907.7640000000001</v>
      </c>
      <c r="CZ28">
        <f t="shared" ref="CZ28:CZ40" si="46">S28*(CA28/100)</f>
        <v>1780.2035999999998</v>
      </c>
      <c r="DC28" t="s">
        <v>4</v>
      </c>
      <c r="DD28" t="s">
        <v>4</v>
      </c>
      <c r="DE28" t="s">
        <v>22</v>
      </c>
      <c r="DF28" t="s">
        <v>22</v>
      </c>
      <c r="DG28" t="s">
        <v>22</v>
      </c>
      <c r="DH28" t="s">
        <v>4</v>
      </c>
      <c r="DI28" t="s">
        <v>22</v>
      </c>
      <c r="DJ28" t="s">
        <v>22</v>
      </c>
      <c r="DK28" t="s">
        <v>4</v>
      </c>
      <c r="DL28" t="s">
        <v>4</v>
      </c>
      <c r="DM28" t="s">
        <v>4</v>
      </c>
      <c r="DN28">
        <v>112</v>
      </c>
      <c r="DO28">
        <v>70</v>
      </c>
      <c r="DP28">
        <v>1.0469999999999999</v>
      </c>
      <c r="DQ28">
        <v>1</v>
      </c>
      <c r="DU28">
        <v>1013</v>
      </c>
      <c r="DV28" t="s">
        <v>20</v>
      </c>
      <c r="DW28" t="s">
        <v>20</v>
      </c>
      <c r="DX28">
        <v>1</v>
      </c>
      <c r="EE28">
        <v>40097165</v>
      </c>
      <c r="EF28">
        <v>40</v>
      </c>
      <c r="EG28" t="s">
        <v>23</v>
      </c>
      <c r="EH28">
        <v>0</v>
      </c>
      <c r="EI28" t="s">
        <v>4</v>
      </c>
      <c r="EJ28">
        <v>2</v>
      </c>
      <c r="EK28">
        <v>355</v>
      </c>
      <c r="EL28" t="s">
        <v>24</v>
      </c>
      <c r="EM28" t="s">
        <v>25</v>
      </c>
      <c r="EO28" t="s">
        <v>26</v>
      </c>
      <c r="EQ28">
        <v>0</v>
      </c>
      <c r="ER28">
        <v>85.63</v>
      </c>
      <c r="ES28">
        <v>21.42</v>
      </c>
      <c r="ET28">
        <v>4.42</v>
      </c>
      <c r="EU28">
        <v>0.65</v>
      </c>
      <c r="EV28">
        <v>59.79</v>
      </c>
      <c r="EW28">
        <v>5.15</v>
      </c>
      <c r="EX28">
        <v>0</v>
      </c>
      <c r="EY28">
        <v>0</v>
      </c>
      <c r="FQ28">
        <v>0</v>
      </c>
      <c r="FR28">
        <f t="shared" ref="FR28:FR40" si="47">ROUND(IF(AND(BH28=3,BI28=3),P28,0),2)</f>
        <v>0</v>
      </c>
      <c r="FS28">
        <v>0</v>
      </c>
      <c r="FX28">
        <v>112</v>
      </c>
      <c r="FY28">
        <v>70</v>
      </c>
      <c r="GA28" t="s">
        <v>4</v>
      </c>
      <c r="GD28">
        <v>0</v>
      </c>
      <c r="GF28">
        <v>446675004</v>
      </c>
      <c r="GG28">
        <v>2</v>
      </c>
      <c r="GH28">
        <v>1</v>
      </c>
      <c r="GI28">
        <v>2</v>
      </c>
      <c r="GJ28">
        <v>0</v>
      </c>
      <c r="GK28">
        <f>ROUND(R28*(R12)/100,2)</f>
        <v>74.17</v>
      </c>
      <c r="GL28">
        <f t="shared" ref="GL28:GL40" si="48">ROUND(IF(AND(BH28=3,BI28=3,FS28&lt;&gt;0),P28,0),2)</f>
        <v>0</v>
      </c>
      <c r="GM28">
        <f t="shared" ref="GM28:GM40" si="49">ROUND(O28+X28+Y28+GK28,2)+GX28</f>
        <v>10478.620000000001</v>
      </c>
      <c r="GN28">
        <f t="shared" ref="GN28:GN40" si="50">IF(OR(BI28=0,BI28=1),ROUND(O28+X28+Y28+GK28,2),0)</f>
        <v>0</v>
      </c>
      <c r="GO28">
        <f t="shared" ref="GO28:GO40" si="51">IF(BI28=2,ROUND(O28+X28+Y28+GK28,2),0)</f>
        <v>10478.620000000001</v>
      </c>
      <c r="GP28">
        <f t="shared" ref="GP28:GP40" si="52">IF(BI28=4,ROUND(O28+X28+Y28+GK28,2)+GX28,0)</f>
        <v>0</v>
      </c>
      <c r="GR28">
        <v>0</v>
      </c>
      <c r="GS28">
        <v>0</v>
      </c>
      <c r="GT28">
        <v>0</v>
      </c>
      <c r="GU28" t="s">
        <v>4</v>
      </c>
      <c r="GV28">
        <f t="shared" ref="GV28:GV40" si="53">ROUND((GT28),6)</f>
        <v>0</v>
      </c>
      <c r="GW28">
        <v>1</v>
      </c>
      <c r="GX28">
        <f t="shared" ref="GX28:GX40" si="54">ROUND(HC28*I28,2)</f>
        <v>0</v>
      </c>
      <c r="HA28">
        <v>0</v>
      </c>
      <c r="HB28">
        <v>0</v>
      </c>
      <c r="HC28">
        <f t="shared" ref="HC28:HC40" si="55">GV28*GW28</f>
        <v>0</v>
      </c>
      <c r="IK28">
        <v>0</v>
      </c>
    </row>
    <row r="29" spans="1:245" x14ac:dyDescent="0.25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27</v>
      </c>
      <c r="F29" t="s">
        <v>28</v>
      </c>
      <c r="G29" t="s">
        <v>29</v>
      </c>
      <c r="H29" t="s">
        <v>20</v>
      </c>
      <c r="I29">
        <v>6</v>
      </c>
      <c r="J29">
        <v>0</v>
      </c>
      <c r="O29">
        <f t="shared" si="21"/>
        <v>6621.83</v>
      </c>
      <c r="P29">
        <f t="shared" si="22"/>
        <v>279.87</v>
      </c>
      <c r="Q29">
        <f>(ROUND((ROUND(((((ET29*1.2)*1.15))*AV29*I29),2)*BB29),2)+ROUND((ROUND(((AE29-(((EU29*1.2)*1.15)))*AV29*I29),2)*BS29),2))</f>
        <v>431.64</v>
      </c>
      <c r="R29">
        <f t="shared" si="23"/>
        <v>224.41</v>
      </c>
      <c r="S29">
        <f t="shared" si="24"/>
        <v>5910.32</v>
      </c>
      <c r="T29">
        <f t="shared" si="25"/>
        <v>0</v>
      </c>
      <c r="U29">
        <f t="shared" si="26"/>
        <v>18.638693999999994</v>
      </c>
      <c r="V29">
        <f t="shared" si="27"/>
        <v>0</v>
      </c>
      <c r="W29">
        <f t="shared" si="28"/>
        <v>0</v>
      </c>
      <c r="X29">
        <f t="shared" si="29"/>
        <v>5319.29</v>
      </c>
      <c r="Y29">
        <f t="shared" si="30"/>
        <v>2541.44</v>
      </c>
      <c r="AA29">
        <v>40520239</v>
      </c>
      <c r="AB29">
        <f t="shared" si="31"/>
        <v>52.120199999999997</v>
      </c>
      <c r="AC29">
        <f t="shared" si="32"/>
        <v>7.56</v>
      </c>
      <c r="AD29">
        <f>ROUND((((((ET29*1.2)*1.15))-(((EU29*1.2)*1.15)))+AE29),6)</f>
        <v>7.1208</v>
      </c>
      <c r="AE29">
        <f t="shared" si="33"/>
        <v>1.4214</v>
      </c>
      <c r="AF29">
        <f t="shared" si="33"/>
        <v>37.439399999999999</v>
      </c>
      <c r="AG29">
        <f t="shared" si="34"/>
        <v>0</v>
      </c>
      <c r="AH29">
        <f t="shared" si="35"/>
        <v>2.9669999999999992</v>
      </c>
      <c r="AI29">
        <f t="shared" si="35"/>
        <v>0</v>
      </c>
      <c r="AJ29">
        <f t="shared" si="36"/>
        <v>0</v>
      </c>
      <c r="AK29">
        <v>39.85</v>
      </c>
      <c r="AL29">
        <v>7.56</v>
      </c>
      <c r="AM29">
        <v>5.16</v>
      </c>
      <c r="AN29">
        <v>1.03</v>
      </c>
      <c r="AO29">
        <v>27.13</v>
      </c>
      <c r="AP29">
        <v>0</v>
      </c>
      <c r="AQ29">
        <v>2.15</v>
      </c>
      <c r="AR29">
        <v>0</v>
      </c>
      <c r="AS29">
        <v>0</v>
      </c>
      <c r="AT29">
        <v>90</v>
      </c>
      <c r="AU29">
        <v>43</v>
      </c>
      <c r="AV29">
        <v>1.0469999999999999</v>
      </c>
      <c r="AW29">
        <v>1</v>
      </c>
      <c r="AZ29">
        <v>1</v>
      </c>
      <c r="BA29">
        <v>25.13</v>
      </c>
      <c r="BB29">
        <v>9.65</v>
      </c>
      <c r="BC29">
        <v>6.17</v>
      </c>
      <c r="BD29" t="s">
        <v>4</v>
      </c>
      <c r="BE29" t="s">
        <v>4</v>
      </c>
      <c r="BF29" t="s">
        <v>4</v>
      </c>
      <c r="BG29" t="s">
        <v>4</v>
      </c>
      <c r="BH29">
        <v>0</v>
      </c>
      <c r="BI29">
        <v>2</v>
      </c>
      <c r="BJ29" t="s">
        <v>30</v>
      </c>
      <c r="BM29">
        <v>317</v>
      </c>
      <c r="BN29">
        <v>0</v>
      </c>
      <c r="BO29" t="s">
        <v>28</v>
      </c>
      <c r="BP29">
        <v>1</v>
      </c>
      <c r="BQ29">
        <v>40</v>
      </c>
      <c r="BR29">
        <v>0</v>
      </c>
      <c r="BS29">
        <v>25.13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4</v>
      </c>
      <c r="BZ29">
        <v>90</v>
      </c>
      <c r="CA29">
        <v>43</v>
      </c>
      <c r="CE29">
        <v>30</v>
      </c>
      <c r="CF29">
        <v>0</v>
      </c>
      <c r="CG29">
        <v>0</v>
      </c>
      <c r="CM29">
        <v>0</v>
      </c>
      <c r="CN29" t="s">
        <v>209</v>
      </c>
      <c r="CO29">
        <v>0</v>
      </c>
      <c r="CP29">
        <f t="shared" si="37"/>
        <v>6621.83</v>
      </c>
      <c r="CQ29">
        <f t="shared" si="38"/>
        <v>46.65</v>
      </c>
      <c r="CR29">
        <f>(ROUND((ROUND(((((ET29*1.2)*1.15))*AV29*1),2)*BB29),2)+ROUND((ROUND(((AE29-(((EU29*1.2)*1.15)))*AV29*1),2)*BS29),2))</f>
        <v>71.989999999999995</v>
      </c>
      <c r="CS29">
        <f t="shared" si="39"/>
        <v>37.44</v>
      </c>
      <c r="CT29">
        <f t="shared" si="40"/>
        <v>985.1</v>
      </c>
      <c r="CU29">
        <f t="shared" si="41"/>
        <v>0</v>
      </c>
      <c r="CV29">
        <f t="shared" si="42"/>
        <v>3.1064489999999991</v>
      </c>
      <c r="CW29">
        <f t="shared" si="43"/>
        <v>0</v>
      </c>
      <c r="CX29">
        <f t="shared" si="44"/>
        <v>0</v>
      </c>
      <c r="CY29">
        <f t="shared" si="45"/>
        <v>5319.2879999999996</v>
      </c>
      <c r="CZ29">
        <f t="shared" si="46"/>
        <v>2541.4375999999997</v>
      </c>
      <c r="DC29" t="s">
        <v>4</v>
      </c>
      <c r="DD29" t="s">
        <v>4</v>
      </c>
      <c r="DE29" t="s">
        <v>22</v>
      </c>
      <c r="DF29" t="s">
        <v>22</v>
      </c>
      <c r="DG29" t="s">
        <v>22</v>
      </c>
      <c r="DH29" t="s">
        <v>4</v>
      </c>
      <c r="DI29" t="s">
        <v>22</v>
      </c>
      <c r="DJ29" t="s">
        <v>22</v>
      </c>
      <c r="DK29" t="s">
        <v>4</v>
      </c>
      <c r="DL29" t="s">
        <v>4</v>
      </c>
      <c r="DM29" t="s">
        <v>4</v>
      </c>
      <c r="DN29">
        <v>112</v>
      </c>
      <c r="DO29">
        <v>70</v>
      </c>
      <c r="DP29">
        <v>1.0469999999999999</v>
      </c>
      <c r="DQ29">
        <v>1</v>
      </c>
      <c r="DU29">
        <v>1013</v>
      </c>
      <c r="DV29" t="s">
        <v>20</v>
      </c>
      <c r="DW29" t="s">
        <v>20</v>
      </c>
      <c r="DX29">
        <v>1</v>
      </c>
      <c r="EE29">
        <v>40097127</v>
      </c>
      <c r="EF29">
        <v>40</v>
      </c>
      <c r="EG29" t="s">
        <v>23</v>
      </c>
      <c r="EH29">
        <v>0</v>
      </c>
      <c r="EI29" t="s">
        <v>4</v>
      </c>
      <c r="EJ29">
        <v>2</v>
      </c>
      <c r="EK29">
        <v>317</v>
      </c>
      <c r="EL29" t="s">
        <v>31</v>
      </c>
      <c r="EM29" t="s">
        <v>32</v>
      </c>
      <c r="EO29" t="s">
        <v>26</v>
      </c>
      <c r="EQ29">
        <v>0</v>
      </c>
      <c r="ER29">
        <v>39.85</v>
      </c>
      <c r="ES29">
        <v>7.56</v>
      </c>
      <c r="ET29">
        <v>5.16</v>
      </c>
      <c r="EU29">
        <v>1.03</v>
      </c>
      <c r="EV29">
        <v>27.13</v>
      </c>
      <c r="EW29">
        <v>2.15</v>
      </c>
      <c r="EX29">
        <v>0</v>
      </c>
      <c r="EY29">
        <v>0</v>
      </c>
      <c r="FQ29">
        <v>0</v>
      </c>
      <c r="FR29">
        <f t="shared" si="47"/>
        <v>0</v>
      </c>
      <c r="FS29">
        <v>0</v>
      </c>
      <c r="FX29">
        <v>112</v>
      </c>
      <c r="FY29">
        <v>70</v>
      </c>
      <c r="GA29" t="s">
        <v>4</v>
      </c>
      <c r="GD29">
        <v>0</v>
      </c>
      <c r="GF29">
        <v>-68154774</v>
      </c>
      <c r="GG29">
        <v>2</v>
      </c>
      <c r="GH29">
        <v>1</v>
      </c>
      <c r="GI29">
        <v>2</v>
      </c>
      <c r="GJ29">
        <v>0</v>
      </c>
      <c r="GK29">
        <f>ROUND(R29*(R12)/100,2)</f>
        <v>352.32</v>
      </c>
      <c r="GL29">
        <f t="shared" si="48"/>
        <v>0</v>
      </c>
      <c r="GM29">
        <f t="shared" si="49"/>
        <v>14834.88</v>
      </c>
      <c r="GN29">
        <f t="shared" si="50"/>
        <v>0</v>
      </c>
      <c r="GO29">
        <f t="shared" si="51"/>
        <v>14834.88</v>
      </c>
      <c r="GP29">
        <f t="shared" si="52"/>
        <v>0</v>
      </c>
      <c r="GR29">
        <v>0</v>
      </c>
      <c r="GS29">
        <v>0</v>
      </c>
      <c r="GT29">
        <v>0</v>
      </c>
      <c r="GU29" t="s">
        <v>4</v>
      </c>
      <c r="GV29">
        <f t="shared" si="53"/>
        <v>0</v>
      </c>
      <c r="GW29">
        <v>1</v>
      </c>
      <c r="GX29">
        <f t="shared" si="54"/>
        <v>0</v>
      </c>
      <c r="HA29">
        <v>0</v>
      </c>
      <c r="HB29">
        <v>0</v>
      </c>
      <c r="HC29">
        <f t="shared" si="55"/>
        <v>0</v>
      </c>
      <c r="IK29">
        <v>0</v>
      </c>
    </row>
    <row r="30" spans="1:245" x14ac:dyDescent="0.25">
      <c r="A30">
        <v>17</v>
      </c>
      <c r="B30">
        <v>1</v>
      </c>
      <c r="C30">
        <f>ROW(SmtRes!A3)</f>
        <v>3</v>
      </c>
      <c r="D30">
        <f>ROW(EtalonRes!A3)</f>
        <v>3</v>
      </c>
      <c r="E30" t="s">
        <v>33</v>
      </c>
      <c r="F30" t="s">
        <v>34</v>
      </c>
      <c r="G30" t="s">
        <v>35</v>
      </c>
      <c r="H30" t="s">
        <v>20</v>
      </c>
      <c r="I30">
        <v>1</v>
      </c>
      <c r="J30">
        <v>0</v>
      </c>
      <c r="O30">
        <f t="shared" si="21"/>
        <v>1771.45</v>
      </c>
      <c r="P30">
        <f t="shared" si="22"/>
        <v>20.73</v>
      </c>
      <c r="Q30">
        <f>(ROUND((ROUND(((((ET30*1.2)*1.15))*AV30*I30),2)*BB30),2)+ROUND((ROUND(((AE30-(((EU30*1.2)*1.15)))*AV30*I30),2)*BS30),2))</f>
        <v>0.67</v>
      </c>
      <c r="R30">
        <f t="shared" si="23"/>
        <v>0.25</v>
      </c>
      <c r="S30">
        <f t="shared" si="24"/>
        <v>1750.05</v>
      </c>
      <c r="T30">
        <f t="shared" si="25"/>
        <v>0</v>
      </c>
      <c r="U30">
        <f t="shared" si="26"/>
        <v>5.2014959999999997</v>
      </c>
      <c r="V30">
        <f t="shared" si="27"/>
        <v>0</v>
      </c>
      <c r="W30">
        <f t="shared" si="28"/>
        <v>0</v>
      </c>
      <c r="X30">
        <f t="shared" si="29"/>
        <v>1575.05</v>
      </c>
      <c r="Y30">
        <f t="shared" si="30"/>
        <v>752.52</v>
      </c>
      <c r="AA30">
        <v>40520239</v>
      </c>
      <c r="AB30">
        <f t="shared" si="31"/>
        <v>69.944999999999993</v>
      </c>
      <c r="AC30">
        <f t="shared" si="32"/>
        <v>3.36</v>
      </c>
      <c r="AD30">
        <f>ROUND((((((ET30*1.2)*1.15))-(((EU30*1.2)*1.15)))+AE30),6)</f>
        <v>6.9000000000000006E-2</v>
      </c>
      <c r="AE30">
        <f t="shared" si="33"/>
        <v>1.38E-2</v>
      </c>
      <c r="AF30">
        <f t="shared" si="33"/>
        <v>66.516000000000005</v>
      </c>
      <c r="AG30">
        <f t="shared" si="34"/>
        <v>0</v>
      </c>
      <c r="AH30">
        <f t="shared" si="35"/>
        <v>4.968</v>
      </c>
      <c r="AI30">
        <f t="shared" si="35"/>
        <v>0</v>
      </c>
      <c r="AJ30">
        <f t="shared" si="36"/>
        <v>0</v>
      </c>
      <c r="AK30">
        <v>51.61</v>
      </c>
      <c r="AL30">
        <v>3.36</v>
      </c>
      <c r="AM30">
        <v>0.05</v>
      </c>
      <c r="AN30">
        <v>0.01</v>
      </c>
      <c r="AO30">
        <v>48.2</v>
      </c>
      <c r="AP30">
        <v>0</v>
      </c>
      <c r="AQ30">
        <v>3.6</v>
      </c>
      <c r="AR30">
        <v>0</v>
      </c>
      <c r="AS30">
        <v>0</v>
      </c>
      <c r="AT30">
        <v>90</v>
      </c>
      <c r="AU30">
        <v>43</v>
      </c>
      <c r="AV30">
        <v>1.0469999999999999</v>
      </c>
      <c r="AW30">
        <v>1</v>
      </c>
      <c r="AZ30">
        <v>1</v>
      </c>
      <c r="BA30">
        <v>25.13</v>
      </c>
      <c r="BB30">
        <v>9.6</v>
      </c>
      <c r="BC30">
        <v>6.17</v>
      </c>
      <c r="BD30" t="s">
        <v>4</v>
      </c>
      <c r="BE30" t="s">
        <v>4</v>
      </c>
      <c r="BF30" t="s">
        <v>4</v>
      </c>
      <c r="BG30" t="s">
        <v>4</v>
      </c>
      <c r="BH30">
        <v>0</v>
      </c>
      <c r="BI30">
        <v>2</v>
      </c>
      <c r="BJ30" t="s">
        <v>36</v>
      </c>
      <c r="BM30">
        <v>336</v>
      </c>
      <c r="BN30">
        <v>0</v>
      </c>
      <c r="BO30" t="s">
        <v>34</v>
      </c>
      <c r="BP30">
        <v>1</v>
      </c>
      <c r="BQ30">
        <v>40</v>
      </c>
      <c r="BR30">
        <v>0</v>
      </c>
      <c r="BS30">
        <v>25.13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4</v>
      </c>
      <c r="BZ30">
        <v>90</v>
      </c>
      <c r="CA30">
        <v>43</v>
      </c>
      <c r="CE30">
        <v>30</v>
      </c>
      <c r="CF30">
        <v>0</v>
      </c>
      <c r="CG30">
        <v>0</v>
      </c>
      <c r="CM30">
        <v>0</v>
      </c>
      <c r="CN30" t="s">
        <v>209</v>
      </c>
      <c r="CO30">
        <v>0</v>
      </c>
      <c r="CP30">
        <f t="shared" si="37"/>
        <v>1771.45</v>
      </c>
      <c r="CQ30">
        <f t="shared" si="38"/>
        <v>20.73</v>
      </c>
      <c r="CR30">
        <f>(ROUND((ROUND(((((ET30*1.2)*1.15))*AV30*1),2)*BB30),2)+ROUND((ROUND(((AE30-(((EU30*1.2)*1.15)))*AV30*1),2)*BS30),2))</f>
        <v>0.67</v>
      </c>
      <c r="CS30">
        <f t="shared" si="39"/>
        <v>0.25</v>
      </c>
      <c r="CT30">
        <f t="shared" si="40"/>
        <v>1750.05</v>
      </c>
      <c r="CU30">
        <f t="shared" si="41"/>
        <v>0</v>
      </c>
      <c r="CV30">
        <f t="shared" si="42"/>
        <v>5.2014959999999997</v>
      </c>
      <c r="CW30">
        <f t="shared" si="43"/>
        <v>0</v>
      </c>
      <c r="CX30">
        <f t="shared" si="44"/>
        <v>0</v>
      </c>
      <c r="CY30">
        <f t="shared" si="45"/>
        <v>1575.0450000000001</v>
      </c>
      <c r="CZ30">
        <f t="shared" si="46"/>
        <v>752.52149999999995</v>
      </c>
      <c r="DC30" t="s">
        <v>4</v>
      </c>
      <c r="DD30" t="s">
        <v>4</v>
      </c>
      <c r="DE30" t="s">
        <v>22</v>
      </c>
      <c r="DF30" t="s">
        <v>22</v>
      </c>
      <c r="DG30" t="s">
        <v>22</v>
      </c>
      <c r="DH30" t="s">
        <v>4</v>
      </c>
      <c r="DI30" t="s">
        <v>22</v>
      </c>
      <c r="DJ30" t="s">
        <v>22</v>
      </c>
      <c r="DK30" t="s">
        <v>4</v>
      </c>
      <c r="DL30" t="s">
        <v>4</v>
      </c>
      <c r="DM30" t="s">
        <v>4</v>
      </c>
      <c r="DN30">
        <v>112</v>
      </c>
      <c r="DO30">
        <v>70</v>
      </c>
      <c r="DP30">
        <v>1.0469999999999999</v>
      </c>
      <c r="DQ30">
        <v>1</v>
      </c>
      <c r="DU30">
        <v>1013</v>
      </c>
      <c r="DV30" t="s">
        <v>20</v>
      </c>
      <c r="DW30" t="s">
        <v>20</v>
      </c>
      <c r="DX30">
        <v>1</v>
      </c>
      <c r="EE30">
        <v>40097146</v>
      </c>
      <c r="EF30">
        <v>40</v>
      </c>
      <c r="EG30" t="s">
        <v>23</v>
      </c>
      <c r="EH30">
        <v>0</v>
      </c>
      <c r="EI30" t="s">
        <v>4</v>
      </c>
      <c r="EJ30">
        <v>2</v>
      </c>
      <c r="EK30">
        <v>336</v>
      </c>
      <c r="EL30" t="s">
        <v>37</v>
      </c>
      <c r="EM30" t="s">
        <v>38</v>
      </c>
      <c r="EO30" t="s">
        <v>26</v>
      </c>
      <c r="EQ30">
        <v>0</v>
      </c>
      <c r="ER30">
        <v>51.61</v>
      </c>
      <c r="ES30">
        <v>3.36</v>
      </c>
      <c r="ET30">
        <v>0.05</v>
      </c>
      <c r="EU30">
        <v>0.01</v>
      </c>
      <c r="EV30">
        <v>48.2</v>
      </c>
      <c r="EW30">
        <v>3.6</v>
      </c>
      <c r="EX30">
        <v>0</v>
      </c>
      <c r="EY30">
        <v>0</v>
      </c>
      <c r="FQ30">
        <v>0</v>
      </c>
      <c r="FR30">
        <f t="shared" si="47"/>
        <v>0</v>
      </c>
      <c r="FS30">
        <v>0</v>
      </c>
      <c r="FX30">
        <v>112</v>
      </c>
      <c r="FY30">
        <v>70</v>
      </c>
      <c r="GA30" t="s">
        <v>4</v>
      </c>
      <c r="GD30">
        <v>0</v>
      </c>
      <c r="GF30">
        <v>-1942730224</v>
      </c>
      <c r="GG30">
        <v>2</v>
      </c>
      <c r="GH30">
        <v>1</v>
      </c>
      <c r="GI30">
        <v>2</v>
      </c>
      <c r="GJ30">
        <v>0</v>
      </c>
      <c r="GK30">
        <f>ROUND(R30*(R12)/100,2)</f>
        <v>0.39</v>
      </c>
      <c r="GL30">
        <f t="shared" si="48"/>
        <v>0</v>
      </c>
      <c r="GM30">
        <f t="shared" si="49"/>
        <v>4099.41</v>
      </c>
      <c r="GN30">
        <f t="shared" si="50"/>
        <v>0</v>
      </c>
      <c r="GO30">
        <f t="shared" si="51"/>
        <v>4099.41</v>
      </c>
      <c r="GP30">
        <f t="shared" si="52"/>
        <v>0</v>
      </c>
      <c r="GR30">
        <v>0</v>
      </c>
      <c r="GS30">
        <v>3</v>
      </c>
      <c r="GT30">
        <v>0</v>
      </c>
      <c r="GU30" t="s">
        <v>4</v>
      </c>
      <c r="GV30">
        <f t="shared" si="53"/>
        <v>0</v>
      </c>
      <c r="GW30">
        <v>1</v>
      </c>
      <c r="GX30">
        <f t="shared" si="54"/>
        <v>0</v>
      </c>
      <c r="HA30">
        <v>0</v>
      </c>
      <c r="HB30">
        <v>0</v>
      </c>
      <c r="HC30">
        <f t="shared" si="55"/>
        <v>0</v>
      </c>
      <c r="IK30">
        <v>0</v>
      </c>
    </row>
    <row r="31" spans="1:245" x14ac:dyDescent="0.25">
      <c r="A31">
        <v>17</v>
      </c>
      <c r="B31">
        <v>1</v>
      </c>
      <c r="C31">
        <f>ROW(SmtRes!A4)</f>
        <v>4</v>
      </c>
      <c r="D31">
        <f>ROW(EtalonRes!A4)</f>
        <v>4</v>
      </c>
      <c r="E31" t="s">
        <v>39</v>
      </c>
      <c r="F31" t="s">
        <v>40</v>
      </c>
      <c r="G31" t="s">
        <v>41</v>
      </c>
      <c r="H31" t="s">
        <v>20</v>
      </c>
      <c r="I31">
        <v>1</v>
      </c>
      <c r="J31">
        <v>0</v>
      </c>
      <c r="O31">
        <f t="shared" si="21"/>
        <v>431.13</v>
      </c>
      <c r="P31">
        <f t="shared" si="22"/>
        <v>0.86</v>
      </c>
      <c r="Q31">
        <f>(ROUND((ROUND(((((ET31*1.2)*1.15))*AV31*I31),2)*BB31),2)+ROUND((ROUND(((AE31-(((EU31*1.2)*1.15)))*AV31*I31),2)*BS31),2))</f>
        <v>6.83</v>
      </c>
      <c r="R31">
        <f t="shared" si="23"/>
        <v>4.0199999999999996</v>
      </c>
      <c r="S31">
        <f t="shared" si="24"/>
        <v>423.44</v>
      </c>
      <c r="T31">
        <f t="shared" si="25"/>
        <v>0</v>
      </c>
      <c r="U31">
        <f t="shared" si="26"/>
        <v>1.4882057999999996</v>
      </c>
      <c r="V31">
        <f t="shared" si="27"/>
        <v>0</v>
      </c>
      <c r="W31">
        <f t="shared" si="28"/>
        <v>0</v>
      </c>
      <c r="X31">
        <f t="shared" si="29"/>
        <v>381.1</v>
      </c>
      <c r="Y31">
        <f t="shared" si="30"/>
        <v>173.61</v>
      </c>
      <c r="AA31">
        <v>40520239</v>
      </c>
      <c r="AB31">
        <f t="shared" si="31"/>
        <v>16.851800000000001</v>
      </c>
      <c r="AC31">
        <f t="shared" si="32"/>
        <v>0.14000000000000001</v>
      </c>
      <c r="AD31">
        <f>ROUND((((((ET31*1.2)*1.15))-(((EU31*1.2)*1.15)))+AE31),6)</f>
        <v>0.621</v>
      </c>
      <c r="AE31">
        <f t="shared" si="33"/>
        <v>0.15179999999999999</v>
      </c>
      <c r="AF31">
        <f t="shared" si="33"/>
        <v>16.090800000000002</v>
      </c>
      <c r="AG31">
        <f t="shared" si="34"/>
        <v>0</v>
      </c>
      <c r="AH31">
        <f t="shared" si="35"/>
        <v>1.4213999999999998</v>
      </c>
      <c r="AI31">
        <f t="shared" si="35"/>
        <v>0</v>
      </c>
      <c r="AJ31">
        <f t="shared" si="36"/>
        <v>0</v>
      </c>
      <c r="AK31">
        <v>12.25</v>
      </c>
      <c r="AL31">
        <v>0.14000000000000001</v>
      </c>
      <c r="AM31">
        <v>0.45</v>
      </c>
      <c r="AN31">
        <v>0.11</v>
      </c>
      <c r="AO31">
        <v>11.66</v>
      </c>
      <c r="AP31">
        <v>0</v>
      </c>
      <c r="AQ31">
        <v>1.03</v>
      </c>
      <c r="AR31">
        <v>0</v>
      </c>
      <c r="AS31">
        <v>0</v>
      </c>
      <c r="AT31">
        <v>90</v>
      </c>
      <c r="AU31">
        <v>41</v>
      </c>
      <c r="AV31">
        <v>1.0469999999999999</v>
      </c>
      <c r="AW31">
        <v>1</v>
      </c>
      <c r="AZ31">
        <v>1</v>
      </c>
      <c r="BA31">
        <v>25.13</v>
      </c>
      <c r="BB31">
        <v>10.51</v>
      </c>
      <c r="BC31">
        <v>6.14</v>
      </c>
      <c r="BD31" t="s">
        <v>4</v>
      </c>
      <c r="BE31" t="s">
        <v>4</v>
      </c>
      <c r="BF31" t="s">
        <v>4</v>
      </c>
      <c r="BG31" t="s">
        <v>4</v>
      </c>
      <c r="BH31">
        <v>0</v>
      </c>
      <c r="BI31">
        <v>2</v>
      </c>
      <c r="BJ31" t="s">
        <v>42</v>
      </c>
      <c r="BM31">
        <v>355</v>
      </c>
      <c r="BN31">
        <v>0</v>
      </c>
      <c r="BO31" t="s">
        <v>40</v>
      </c>
      <c r="BP31">
        <v>1</v>
      </c>
      <c r="BQ31">
        <v>40</v>
      </c>
      <c r="BR31">
        <v>0</v>
      </c>
      <c r="BS31">
        <v>25.13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4</v>
      </c>
      <c r="BZ31">
        <v>90</v>
      </c>
      <c r="CA31">
        <v>41</v>
      </c>
      <c r="CE31">
        <v>30</v>
      </c>
      <c r="CF31">
        <v>0</v>
      </c>
      <c r="CG31">
        <v>0</v>
      </c>
      <c r="CM31">
        <v>0</v>
      </c>
      <c r="CN31" t="s">
        <v>209</v>
      </c>
      <c r="CO31">
        <v>0</v>
      </c>
      <c r="CP31">
        <f t="shared" si="37"/>
        <v>431.13</v>
      </c>
      <c r="CQ31">
        <f t="shared" si="38"/>
        <v>0.86</v>
      </c>
      <c r="CR31">
        <f>(ROUND((ROUND(((((ET31*1.2)*1.15))*AV31*1),2)*BB31),2)+ROUND((ROUND(((AE31-(((EU31*1.2)*1.15)))*AV31*1),2)*BS31),2))</f>
        <v>6.83</v>
      </c>
      <c r="CS31">
        <f t="shared" si="39"/>
        <v>4.0199999999999996</v>
      </c>
      <c r="CT31">
        <f t="shared" si="40"/>
        <v>423.44</v>
      </c>
      <c r="CU31">
        <f t="shared" si="41"/>
        <v>0</v>
      </c>
      <c r="CV31">
        <f t="shared" si="42"/>
        <v>1.4882057999999996</v>
      </c>
      <c r="CW31">
        <f t="shared" si="43"/>
        <v>0</v>
      </c>
      <c r="CX31">
        <f t="shared" si="44"/>
        <v>0</v>
      </c>
      <c r="CY31">
        <f t="shared" si="45"/>
        <v>381.096</v>
      </c>
      <c r="CZ31">
        <f t="shared" si="46"/>
        <v>173.6104</v>
      </c>
      <c r="DC31" t="s">
        <v>4</v>
      </c>
      <c r="DD31" t="s">
        <v>4</v>
      </c>
      <c r="DE31" t="s">
        <v>22</v>
      </c>
      <c r="DF31" t="s">
        <v>22</v>
      </c>
      <c r="DG31" t="s">
        <v>22</v>
      </c>
      <c r="DH31" t="s">
        <v>4</v>
      </c>
      <c r="DI31" t="s">
        <v>22</v>
      </c>
      <c r="DJ31" t="s">
        <v>22</v>
      </c>
      <c r="DK31" t="s">
        <v>4</v>
      </c>
      <c r="DL31" t="s">
        <v>4</v>
      </c>
      <c r="DM31" t="s">
        <v>4</v>
      </c>
      <c r="DN31">
        <v>112</v>
      </c>
      <c r="DO31">
        <v>70</v>
      </c>
      <c r="DP31">
        <v>1.0469999999999999</v>
      </c>
      <c r="DQ31">
        <v>1</v>
      </c>
      <c r="DU31">
        <v>1013</v>
      </c>
      <c r="DV31" t="s">
        <v>20</v>
      </c>
      <c r="DW31" t="s">
        <v>20</v>
      </c>
      <c r="DX31">
        <v>1</v>
      </c>
      <c r="EE31">
        <v>40097165</v>
      </c>
      <c r="EF31">
        <v>40</v>
      </c>
      <c r="EG31" t="s">
        <v>23</v>
      </c>
      <c r="EH31">
        <v>0</v>
      </c>
      <c r="EI31" t="s">
        <v>4</v>
      </c>
      <c r="EJ31">
        <v>2</v>
      </c>
      <c r="EK31">
        <v>355</v>
      </c>
      <c r="EL31" t="s">
        <v>24</v>
      </c>
      <c r="EM31" t="s">
        <v>25</v>
      </c>
      <c r="EO31" t="s">
        <v>26</v>
      </c>
      <c r="EQ31">
        <v>0</v>
      </c>
      <c r="ER31">
        <v>12.25</v>
      </c>
      <c r="ES31">
        <v>0.14000000000000001</v>
      </c>
      <c r="ET31">
        <v>0.45</v>
      </c>
      <c r="EU31">
        <v>0.11</v>
      </c>
      <c r="EV31">
        <v>11.66</v>
      </c>
      <c r="EW31">
        <v>1.03</v>
      </c>
      <c r="EX31">
        <v>0</v>
      </c>
      <c r="EY31">
        <v>0</v>
      </c>
      <c r="FQ31">
        <v>0</v>
      </c>
      <c r="FR31">
        <f t="shared" si="47"/>
        <v>0</v>
      </c>
      <c r="FS31">
        <v>0</v>
      </c>
      <c r="FX31">
        <v>112</v>
      </c>
      <c r="FY31">
        <v>70</v>
      </c>
      <c r="GA31" t="s">
        <v>4</v>
      </c>
      <c r="GD31">
        <v>0</v>
      </c>
      <c r="GF31">
        <v>-1305443035</v>
      </c>
      <c r="GG31">
        <v>2</v>
      </c>
      <c r="GH31">
        <v>1</v>
      </c>
      <c r="GI31">
        <v>2</v>
      </c>
      <c r="GJ31">
        <v>0</v>
      </c>
      <c r="GK31">
        <f>ROUND(R31*(R12)/100,2)</f>
        <v>6.31</v>
      </c>
      <c r="GL31">
        <f t="shared" si="48"/>
        <v>0</v>
      </c>
      <c r="GM31">
        <f t="shared" si="49"/>
        <v>992.15</v>
      </c>
      <c r="GN31">
        <f t="shared" si="50"/>
        <v>0</v>
      </c>
      <c r="GO31">
        <f t="shared" si="51"/>
        <v>992.15</v>
      </c>
      <c r="GP31">
        <f t="shared" si="52"/>
        <v>0</v>
      </c>
      <c r="GR31">
        <v>0</v>
      </c>
      <c r="GS31">
        <v>3</v>
      </c>
      <c r="GT31">
        <v>0</v>
      </c>
      <c r="GU31" t="s">
        <v>4</v>
      </c>
      <c r="GV31">
        <f t="shared" si="53"/>
        <v>0</v>
      </c>
      <c r="GW31">
        <v>1</v>
      </c>
      <c r="GX31">
        <f t="shared" si="54"/>
        <v>0</v>
      </c>
      <c r="HA31">
        <v>0</v>
      </c>
      <c r="HB31">
        <v>0</v>
      </c>
      <c r="HC31">
        <f t="shared" si="55"/>
        <v>0</v>
      </c>
      <c r="IK31">
        <v>0</v>
      </c>
    </row>
    <row r="32" spans="1:245" x14ac:dyDescent="0.25">
      <c r="A32">
        <v>17</v>
      </c>
      <c r="B32">
        <v>1</v>
      </c>
      <c r="C32">
        <f>ROW(SmtRes!A6)</f>
        <v>6</v>
      </c>
      <c r="D32">
        <f>ROW(EtalonRes!A7)</f>
        <v>7</v>
      </c>
      <c r="E32" t="s">
        <v>43</v>
      </c>
      <c r="F32" t="s">
        <v>44</v>
      </c>
      <c r="G32" t="s">
        <v>45</v>
      </c>
      <c r="H32" t="s">
        <v>46</v>
      </c>
      <c r="I32">
        <f>ROUND(200/100,9)</f>
        <v>2</v>
      </c>
      <c r="J32">
        <v>0</v>
      </c>
      <c r="O32">
        <f t="shared" si="21"/>
        <v>80019.429999999993</v>
      </c>
      <c r="P32">
        <f t="shared" si="22"/>
        <v>21391.759999999998</v>
      </c>
      <c r="Q32">
        <f>(ROUND((ROUND(((((ET32*1.2)*1.15))*AV32*I32),2)*BB32),2)+ROUND((ROUND(((AE32-(((EU32*1.2)*1.15)))*AV32*I32),2)*BS32),2))</f>
        <v>821.88</v>
      </c>
      <c r="R32">
        <f t="shared" si="23"/>
        <v>169.88</v>
      </c>
      <c r="S32">
        <f t="shared" si="24"/>
        <v>57805.79</v>
      </c>
      <c r="T32">
        <f t="shared" si="25"/>
        <v>0</v>
      </c>
      <c r="U32">
        <f t="shared" si="26"/>
        <v>169.51097519999996</v>
      </c>
      <c r="V32">
        <f t="shared" si="27"/>
        <v>0</v>
      </c>
      <c r="W32">
        <f t="shared" si="28"/>
        <v>0</v>
      </c>
      <c r="X32">
        <f t="shared" si="29"/>
        <v>52025.21</v>
      </c>
      <c r="Y32">
        <f t="shared" si="30"/>
        <v>24856.49</v>
      </c>
      <c r="AA32">
        <v>40520239</v>
      </c>
      <c r="AB32">
        <f t="shared" si="31"/>
        <v>2889.0868</v>
      </c>
      <c r="AC32">
        <f t="shared" si="32"/>
        <v>1733.53</v>
      </c>
      <c r="AD32">
        <f>ROUND((((((ET32*1.2)*1.15))-(((EU32*1.2)*1.15)))+AE32),6)</f>
        <v>57.049199999999999</v>
      </c>
      <c r="AE32">
        <f t="shared" si="33"/>
        <v>3.2292000000000001</v>
      </c>
      <c r="AF32">
        <f t="shared" si="33"/>
        <v>1098.5075999999999</v>
      </c>
      <c r="AG32">
        <f t="shared" si="34"/>
        <v>0</v>
      </c>
      <c r="AH32">
        <f t="shared" si="35"/>
        <v>80.950799999999987</v>
      </c>
      <c r="AI32">
        <f t="shared" si="35"/>
        <v>0</v>
      </c>
      <c r="AJ32">
        <f t="shared" si="36"/>
        <v>0</v>
      </c>
      <c r="AK32">
        <v>2570.89</v>
      </c>
      <c r="AL32">
        <v>1733.53</v>
      </c>
      <c r="AM32">
        <v>41.34</v>
      </c>
      <c r="AN32">
        <v>2.34</v>
      </c>
      <c r="AO32">
        <v>796.02</v>
      </c>
      <c r="AP32">
        <v>0</v>
      </c>
      <c r="AQ32">
        <v>58.66</v>
      </c>
      <c r="AR32">
        <v>0</v>
      </c>
      <c r="AS32">
        <v>0</v>
      </c>
      <c r="AT32">
        <v>90</v>
      </c>
      <c r="AU32">
        <v>43</v>
      </c>
      <c r="AV32">
        <v>1.0469999999999999</v>
      </c>
      <c r="AW32">
        <v>1</v>
      </c>
      <c r="AZ32">
        <v>1</v>
      </c>
      <c r="BA32">
        <v>25.13</v>
      </c>
      <c r="BB32">
        <v>6.88</v>
      </c>
      <c r="BC32">
        <v>6.17</v>
      </c>
      <c r="BD32" t="s">
        <v>4</v>
      </c>
      <c r="BE32" t="s">
        <v>4</v>
      </c>
      <c r="BF32" t="s">
        <v>4</v>
      </c>
      <c r="BG32" t="s">
        <v>4</v>
      </c>
      <c r="BH32">
        <v>0</v>
      </c>
      <c r="BI32">
        <v>2</v>
      </c>
      <c r="BJ32" t="s">
        <v>47</v>
      </c>
      <c r="BM32">
        <v>335</v>
      </c>
      <c r="BN32">
        <v>0</v>
      </c>
      <c r="BO32" t="s">
        <v>44</v>
      </c>
      <c r="BP32">
        <v>1</v>
      </c>
      <c r="BQ32">
        <v>40</v>
      </c>
      <c r="BR32">
        <v>0</v>
      </c>
      <c r="BS32">
        <v>25.13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4</v>
      </c>
      <c r="BZ32">
        <v>90</v>
      </c>
      <c r="CA32">
        <v>43</v>
      </c>
      <c r="CE32">
        <v>30</v>
      </c>
      <c r="CF32">
        <v>0</v>
      </c>
      <c r="CG32">
        <v>0</v>
      </c>
      <c r="CM32">
        <v>0</v>
      </c>
      <c r="CN32" t="s">
        <v>209</v>
      </c>
      <c r="CO32">
        <v>0</v>
      </c>
      <c r="CP32">
        <f t="shared" si="37"/>
        <v>80019.429999999993</v>
      </c>
      <c r="CQ32">
        <f t="shared" si="38"/>
        <v>10695.88</v>
      </c>
      <c r="CR32">
        <f>(ROUND((ROUND(((((ET32*1.2)*1.15))*AV32*1),2)*BB32),2)+ROUND((ROUND(((AE32-(((EU32*1.2)*1.15)))*AV32*1),2)*BS32),2))</f>
        <v>410.94</v>
      </c>
      <c r="CS32">
        <f t="shared" si="39"/>
        <v>84.94</v>
      </c>
      <c r="CT32">
        <f t="shared" si="40"/>
        <v>28903.02</v>
      </c>
      <c r="CU32">
        <f t="shared" si="41"/>
        <v>0</v>
      </c>
      <c r="CV32">
        <f t="shared" si="42"/>
        <v>84.755487599999981</v>
      </c>
      <c r="CW32">
        <f t="shared" si="43"/>
        <v>0</v>
      </c>
      <c r="CX32">
        <f t="shared" si="44"/>
        <v>0</v>
      </c>
      <c r="CY32">
        <f t="shared" si="45"/>
        <v>52025.211000000003</v>
      </c>
      <c r="CZ32">
        <f t="shared" si="46"/>
        <v>24856.489699999998</v>
      </c>
      <c r="DC32" t="s">
        <v>4</v>
      </c>
      <c r="DD32" t="s">
        <v>4</v>
      </c>
      <c r="DE32" t="s">
        <v>22</v>
      </c>
      <c r="DF32" t="s">
        <v>22</v>
      </c>
      <c r="DG32" t="s">
        <v>22</v>
      </c>
      <c r="DH32" t="s">
        <v>4</v>
      </c>
      <c r="DI32" t="s">
        <v>22</v>
      </c>
      <c r="DJ32" t="s">
        <v>22</v>
      </c>
      <c r="DK32" t="s">
        <v>4</v>
      </c>
      <c r="DL32" t="s">
        <v>4</v>
      </c>
      <c r="DM32" t="s">
        <v>4</v>
      </c>
      <c r="DN32">
        <v>112</v>
      </c>
      <c r="DO32">
        <v>70</v>
      </c>
      <c r="DP32">
        <v>1.0469999999999999</v>
      </c>
      <c r="DQ32">
        <v>1</v>
      </c>
      <c r="DU32">
        <v>1003</v>
      </c>
      <c r="DV32" t="s">
        <v>46</v>
      </c>
      <c r="DW32" t="s">
        <v>46</v>
      </c>
      <c r="DX32">
        <v>100</v>
      </c>
      <c r="EE32">
        <v>40097145</v>
      </c>
      <c r="EF32">
        <v>40</v>
      </c>
      <c r="EG32" t="s">
        <v>23</v>
      </c>
      <c r="EH32">
        <v>0</v>
      </c>
      <c r="EI32" t="s">
        <v>4</v>
      </c>
      <c r="EJ32">
        <v>2</v>
      </c>
      <c r="EK32">
        <v>335</v>
      </c>
      <c r="EL32" t="s">
        <v>48</v>
      </c>
      <c r="EM32" t="s">
        <v>49</v>
      </c>
      <c r="EO32" t="s">
        <v>26</v>
      </c>
      <c r="EQ32">
        <v>0</v>
      </c>
      <c r="ER32">
        <v>2570.89</v>
      </c>
      <c r="ES32">
        <v>1733.53</v>
      </c>
      <c r="ET32">
        <v>41.34</v>
      </c>
      <c r="EU32">
        <v>2.34</v>
      </c>
      <c r="EV32">
        <v>796.02</v>
      </c>
      <c r="EW32">
        <v>58.66</v>
      </c>
      <c r="EX32">
        <v>0</v>
      </c>
      <c r="EY32">
        <v>0</v>
      </c>
      <c r="FQ32">
        <v>0</v>
      </c>
      <c r="FR32">
        <f t="shared" si="47"/>
        <v>0</v>
      </c>
      <c r="FS32">
        <v>0</v>
      </c>
      <c r="FX32">
        <v>112</v>
      </c>
      <c r="FY32">
        <v>70</v>
      </c>
      <c r="GA32" t="s">
        <v>4</v>
      </c>
      <c r="GD32">
        <v>0</v>
      </c>
      <c r="GF32">
        <v>1625529035</v>
      </c>
      <c r="GG32">
        <v>2</v>
      </c>
      <c r="GH32">
        <v>1</v>
      </c>
      <c r="GI32">
        <v>2</v>
      </c>
      <c r="GJ32">
        <v>0</v>
      </c>
      <c r="GK32">
        <f>ROUND(R32*(R12)/100,2)</f>
        <v>266.70999999999998</v>
      </c>
      <c r="GL32">
        <f t="shared" si="48"/>
        <v>0</v>
      </c>
      <c r="GM32">
        <f t="shared" si="49"/>
        <v>157167.84</v>
      </c>
      <c r="GN32">
        <f t="shared" si="50"/>
        <v>0</v>
      </c>
      <c r="GO32">
        <f t="shared" si="51"/>
        <v>157167.84</v>
      </c>
      <c r="GP32">
        <f t="shared" si="52"/>
        <v>0</v>
      </c>
      <c r="GR32">
        <v>0</v>
      </c>
      <c r="GS32">
        <v>3</v>
      </c>
      <c r="GT32">
        <v>0</v>
      </c>
      <c r="GU32" t="s">
        <v>4</v>
      </c>
      <c r="GV32">
        <f t="shared" si="53"/>
        <v>0</v>
      </c>
      <c r="GW32">
        <v>1</v>
      </c>
      <c r="GX32">
        <f t="shared" si="54"/>
        <v>0</v>
      </c>
      <c r="HA32">
        <v>0</v>
      </c>
      <c r="HB32">
        <v>0</v>
      </c>
      <c r="HC32">
        <f t="shared" si="55"/>
        <v>0</v>
      </c>
      <c r="IK32">
        <v>0</v>
      </c>
    </row>
    <row r="33" spans="1:245" x14ac:dyDescent="0.25">
      <c r="A33">
        <v>18</v>
      </c>
      <c r="B33">
        <v>1</v>
      </c>
      <c r="C33">
        <v>6</v>
      </c>
      <c r="E33" t="s">
        <v>50</v>
      </c>
      <c r="F33" t="s">
        <v>51</v>
      </c>
      <c r="G33" t="s">
        <v>52</v>
      </c>
      <c r="H33" t="s">
        <v>53</v>
      </c>
      <c r="I33">
        <f>I32*J33</f>
        <v>204</v>
      </c>
      <c r="J33">
        <v>102</v>
      </c>
      <c r="O33">
        <f t="shared" si="21"/>
        <v>1510.31</v>
      </c>
      <c r="P33">
        <f t="shared" si="22"/>
        <v>1510.31</v>
      </c>
      <c r="Q33">
        <f>(ROUND((ROUND(((ET33)*AV33*I33),2)*BB33),2)+ROUND((ROUND(((AE33-(EU33))*AV33*I33),2)*BS33),2))</f>
        <v>0</v>
      </c>
      <c r="R33">
        <f t="shared" si="23"/>
        <v>0</v>
      </c>
      <c r="S33">
        <f t="shared" si="24"/>
        <v>0</v>
      </c>
      <c r="T33">
        <f t="shared" si="25"/>
        <v>0</v>
      </c>
      <c r="U33">
        <f t="shared" si="26"/>
        <v>0</v>
      </c>
      <c r="V33">
        <f t="shared" si="27"/>
        <v>0</v>
      </c>
      <c r="W33">
        <f t="shared" si="28"/>
        <v>0</v>
      </c>
      <c r="X33">
        <f t="shared" si="29"/>
        <v>0</v>
      </c>
      <c r="Y33">
        <f t="shared" si="30"/>
        <v>0</v>
      </c>
      <c r="AA33">
        <v>40520239</v>
      </c>
      <c r="AB33">
        <f t="shared" si="31"/>
        <v>3.35</v>
      </c>
      <c r="AC33">
        <f t="shared" si="32"/>
        <v>3.35</v>
      </c>
      <c r="AD33">
        <f>ROUND((((ET33)-(EU33))+AE33),6)</f>
        <v>0</v>
      </c>
      <c r="AE33">
        <f>ROUND((EU33),6)</f>
        <v>0</v>
      </c>
      <c r="AF33">
        <f>ROUND((EV33),6)</f>
        <v>0</v>
      </c>
      <c r="AG33">
        <f t="shared" si="34"/>
        <v>0</v>
      </c>
      <c r="AH33">
        <f>(EW33)</f>
        <v>0</v>
      </c>
      <c r="AI33">
        <f>(EX33)</f>
        <v>0</v>
      </c>
      <c r="AJ33">
        <f t="shared" si="36"/>
        <v>0</v>
      </c>
      <c r="AK33">
        <v>3.35</v>
      </c>
      <c r="AL33">
        <v>3.35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2.21</v>
      </c>
      <c r="BD33" t="s">
        <v>4</v>
      </c>
      <c r="BE33" t="s">
        <v>4</v>
      </c>
      <c r="BF33" t="s">
        <v>4</v>
      </c>
      <c r="BG33" t="s">
        <v>4</v>
      </c>
      <c r="BH33">
        <v>3</v>
      </c>
      <c r="BI33">
        <v>2</v>
      </c>
      <c r="BJ33" t="s">
        <v>54</v>
      </c>
      <c r="BM33">
        <v>335</v>
      </c>
      <c r="BN33">
        <v>0</v>
      </c>
      <c r="BO33" t="s">
        <v>51</v>
      </c>
      <c r="BP33">
        <v>1</v>
      </c>
      <c r="BQ33">
        <v>40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4</v>
      </c>
      <c r="BZ33">
        <v>0</v>
      </c>
      <c r="CA33">
        <v>0</v>
      </c>
      <c r="CE33">
        <v>30</v>
      </c>
      <c r="CF33">
        <v>0</v>
      </c>
      <c r="CG33">
        <v>0</v>
      </c>
      <c r="CM33">
        <v>0</v>
      </c>
      <c r="CN33" t="s">
        <v>4</v>
      </c>
      <c r="CO33">
        <v>0</v>
      </c>
      <c r="CP33">
        <f t="shared" si="37"/>
        <v>1510.31</v>
      </c>
      <c r="CQ33">
        <f t="shared" si="38"/>
        <v>7.4</v>
      </c>
      <c r="CR33">
        <f>(ROUND((ROUND(((ET33)*AV33*1),2)*BB33),2)+ROUND((ROUND(((AE33-(EU33))*AV33*1),2)*BS33),2))</f>
        <v>0</v>
      </c>
      <c r="CS33">
        <f t="shared" si="39"/>
        <v>0</v>
      </c>
      <c r="CT33">
        <f t="shared" si="40"/>
        <v>0</v>
      </c>
      <c r="CU33">
        <f t="shared" si="41"/>
        <v>0</v>
      </c>
      <c r="CV33">
        <f t="shared" si="42"/>
        <v>0</v>
      </c>
      <c r="CW33">
        <f t="shared" si="43"/>
        <v>0</v>
      </c>
      <c r="CX33">
        <f t="shared" si="44"/>
        <v>0</v>
      </c>
      <c r="CY33">
        <f t="shared" si="45"/>
        <v>0</v>
      </c>
      <c r="CZ33">
        <f t="shared" si="46"/>
        <v>0</v>
      </c>
      <c r="DC33" t="s">
        <v>4</v>
      </c>
      <c r="DD33" t="s">
        <v>4</v>
      </c>
      <c r="DE33" t="s">
        <v>4</v>
      </c>
      <c r="DF33" t="s">
        <v>4</v>
      </c>
      <c r="DG33" t="s">
        <v>4</v>
      </c>
      <c r="DH33" t="s">
        <v>4</v>
      </c>
      <c r="DI33" t="s">
        <v>4</v>
      </c>
      <c r="DJ33" t="s">
        <v>4</v>
      </c>
      <c r="DK33" t="s">
        <v>4</v>
      </c>
      <c r="DL33" t="s">
        <v>4</v>
      </c>
      <c r="DM33" t="s">
        <v>4</v>
      </c>
      <c r="DN33">
        <v>112</v>
      </c>
      <c r="DO33">
        <v>70</v>
      </c>
      <c r="DP33">
        <v>1.0469999999999999</v>
      </c>
      <c r="DQ33">
        <v>1</v>
      </c>
      <c r="DU33">
        <v>1003</v>
      </c>
      <c r="DV33" t="s">
        <v>53</v>
      </c>
      <c r="DW33" t="s">
        <v>53</v>
      </c>
      <c r="DX33">
        <v>1</v>
      </c>
      <c r="EE33">
        <v>40097145</v>
      </c>
      <c r="EF33">
        <v>40</v>
      </c>
      <c r="EG33" t="s">
        <v>23</v>
      </c>
      <c r="EH33">
        <v>0</v>
      </c>
      <c r="EI33" t="s">
        <v>4</v>
      </c>
      <c r="EJ33">
        <v>2</v>
      </c>
      <c r="EK33">
        <v>335</v>
      </c>
      <c r="EL33" t="s">
        <v>48</v>
      </c>
      <c r="EM33" t="s">
        <v>49</v>
      </c>
      <c r="EO33" t="s">
        <v>4</v>
      </c>
      <c r="EQ33">
        <v>0</v>
      </c>
      <c r="ER33">
        <v>3.35</v>
      </c>
      <c r="ES33">
        <v>3.35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47"/>
        <v>0</v>
      </c>
      <c r="FS33">
        <v>0</v>
      </c>
      <c r="FX33">
        <v>112</v>
      </c>
      <c r="FY33">
        <v>70</v>
      </c>
      <c r="GA33" t="s">
        <v>4</v>
      </c>
      <c r="GD33">
        <v>0</v>
      </c>
      <c r="GF33">
        <v>-2061019636</v>
      </c>
      <c r="GG33">
        <v>2</v>
      </c>
      <c r="GH33">
        <v>1</v>
      </c>
      <c r="GI33">
        <v>2</v>
      </c>
      <c r="GJ33">
        <v>0</v>
      </c>
      <c r="GK33">
        <f>ROUND(R33*(R12)/100,2)</f>
        <v>0</v>
      </c>
      <c r="GL33">
        <f t="shared" si="48"/>
        <v>0</v>
      </c>
      <c r="GM33">
        <f t="shared" si="49"/>
        <v>1510.31</v>
      </c>
      <c r="GN33">
        <f t="shared" si="50"/>
        <v>0</v>
      </c>
      <c r="GO33">
        <f t="shared" si="51"/>
        <v>1510.31</v>
      </c>
      <c r="GP33">
        <f t="shared" si="52"/>
        <v>0</v>
      </c>
      <c r="GR33">
        <v>0</v>
      </c>
      <c r="GS33">
        <v>3</v>
      </c>
      <c r="GT33">
        <v>0</v>
      </c>
      <c r="GU33" t="s">
        <v>4</v>
      </c>
      <c r="GV33">
        <f t="shared" si="53"/>
        <v>0</v>
      </c>
      <c r="GW33">
        <v>1</v>
      </c>
      <c r="GX33">
        <f t="shared" si="54"/>
        <v>0</v>
      </c>
      <c r="HA33">
        <v>0</v>
      </c>
      <c r="HB33">
        <v>0</v>
      </c>
      <c r="HC33">
        <f t="shared" si="55"/>
        <v>0</v>
      </c>
      <c r="IK33">
        <v>0</v>
      </c>
    </row>
    <row r="34" spans="1:245" x14ac:dyDescent="0.25">
      <c r="A34">
        <v>17</v>
      </c>
      <c r="B34">
        <v>1</v>
      </c>
      <c r="C34">
        <f>ROW(SmtRes!A7)</f>
        <v>7</v>
      </c>
      <c r="D34">
        <f>ROW(EtalonRes!A8)</f>
        <v>8</v>
      </c>
      <c r="E34" t="s">
        <v>55</v>
      </c>
      <c r="F34" t="s">
        <v>56</v>
      </c>
      <c r="G34" t="s">
        <v>57</v>
      </c>
      <c r="H34" t="s">
        <v>46</v>
      </c>
      <c r="I34">
        <f>ROUND(140/100,9)</f>
        <v>1.4</v>
      </c>
      <c r="J34">
        <v>0</v>
      </c>
      <c r="O34">
        <f t="shared" si="21"/>
        <v>4721.03</v>
      </c>
      <c r="P34">
        <f t="shared" si="22"/>
        <v>131.24</v>
      </c>
      <c r="Q34">
        <f>(ROUND((ROUND(((((ET34*1.2)*1.15))*AV34*I34),2)*BB34),2)+ROUND((ROUND(((AE34-(((EU34*1.2)*1.15)))*AV34*I34),2)*BS34),2))</f>
        <v>70.66</v>
      </c>
      <c r="R34">
        <f t="shared" si="23"/>
        <v>40.21</v>
      </c>
      <c r="S34">
        <f t="shared" si="24"/>
        <v>4519.13</v>
      </c>
      <c r="T34">
        <f t="shared" si="25"/>
        <v>0</v>
      </c>
      <c r="U34">
        <f t="shared" si="26"/>
        <v>14.584416839999996</v>
      </c>
      <c r="V34">
        <f t="shared" si="27"/>
        <v>0</v>
      </c>
      <c r="W34">
        <f t="shared" si="28"/>
        <v>0</v>
      </c>
      <c r="X34">
        <f t="shared" si="29"/>
        <v>4067.22</v>
      </c>
      <c r="Y34">
        <f t="shared" si="30"/>
        <v>1943.23</v>
      </c>
      <c r="AA34">
        <v>40520239</v>
      </c>
      <c r="AB34">
        <f t="shared" si="31"/>
        <v>142.55019999999999</v>
      </c>
      <c r="AC34">
        <f t="shared" si="32"/>
        <v>15.19</v>
      </c>
      <c r="AD34">
        <f>ROUND((((((ET34*1.2)*1.15))-(((EU34*1.2)*1.15)))+AE34),6)</f>
        <v>4.6782000000000004</v>
      </c>
      <c r="AE34">
        <f>ROUND((((EU34*1.2)*1.15)),6)</f>
        <v>1.0902000000000001</v>
      </c>
      <c r="AF34">
        <f>ROUND((((EV34*1.2)*1.15)),6)</f>
        <v>122.682</v>
      </c>
      <c r="AG34">
        <f t="shared" si="34"/>
        <v>0</v>
      </c>
      <c r="AH34">
        <f>(((EW34*1.2)*1.15))</f>
        <v>9.949799999999998</v>
      </c>
      <c r="AI34">
        <f>(((EX34*1.2)*1.15))</f>
        <v>0</v>
      </c>
      <c r="AJ34">
        <f t="shared" si="36"/>
        <v>0</v>
      </c>
      <c r="AK34">
        <v>107.48</v>
      </c>
      <c r="AL34">
        <v>15.19</v>
      </c>
      <c r="AM34">
        <v>3.39</v>
      </c>
      <c r="AN34">
        <v>0.79</v>
      </c>
      <c r="AO34">
        <v>88.9</v>
      </c>
      <c r="AP34">
        <v>0</v>
      </c>
      <c r="AQ34">
        <v>7.21</v>
      </c>
      <c r="AR34">
        <v>0</v>
      </c>
      <c r="AS34">
        <v>0</v>
      </c>
      <c r="AT34">
        <v>90</v>
      </c>
      <c r="AU34">
        <v>43</v>
      </c>
      <c r="AV34">
        <v>1.0469999999999999</v>
      </c>
      <c r="AW34">
        <v>1</v>
      </c>
      <c r="AZ34">
        <v>1</v>
      </c>
      <c r="BA34">
        <v>25.13</v>
      </c>
      <c r="BB34">
        <v>10.3</v>
      </c>
      <c r="BC34">
        <v>6.17</v>
      </c>
      <c r="BD34" t="s">
        <v>4</v>
      </c>
      <c r="BE34" t="s">
        <v>4</v>
      </c>
      <c r="BF34" t="s">
        <v>4</v>
      </c>
      <c r="BG34" t="s">
        <v>4</v>
      </c>
      <c r="BH34">
        <v>0</v>
      </c>
      <c r="BI34">
        <v>2</v>
      </c>
      <c r="BJ34" t="s">
        <v>58</v>
      </c>
      <c r="BM34">
        <v>331</v>
      </c>
      <c r="BN34">
        <v>0</v>
      </c>
      <c r="BO34" t="s">
        <v>56</v>
      </c>
      <c r="BP34">
        <v>1</v>
      </c>
      <c r="BQ34">
        <v>40</v>
      </c>
      <c r="BR34">
        <v>0</v>
      </c>
      <c r="BS34">
        <v>25.13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4</v>
      </c>
      <c r="BZ34">
        <v>90</v>
      </c>
      <c r="CA34">
        <v>43</v>
      </c>
      <c r="CE34">
        <v>30</v>
      </c>
      <c r="CF34">
        <v>0</v>
      </c>
      <c r="CG34">
        <v>0</v>
      </c>
      <c r="CM34">
        <v>0</v>
      </c>
      <c r="CN34" t="s">
        <v>209</v>
      </c>
      <c r="CO34">
        <v>0</v>
      </c>
      <c r="CP34">
        <f t="shared" si="37"/>
        <v>4721.03</v>
      </c>
      <c r="CQ34">
        <f t="shared" si="38"/>
        <v>93.72</v>
      </c>
      <c r="CR34">
        <f>(ROUND((ROUND(((((ET34*1.2)*1.15))*AV34*1),2)*BB34),2)+ROUND((ROUND(((AE34-(((EU34*1.2)*1.15)))*AV34*1),2)*BS34),2))</f>
        <v>50.47</v>
      </c>
      <c r="CS34">
        <f t="shared" si="39"/>
        <v>28.65</v>
      </c>
      <c r="CT34">
        <f t="shared" si="40"/>
        <v>3227.95</v>
      </c>
      <c r="CU34">
        <f t="shared" si="41"/>
        <v>0</v>
      </c>
      <c r="CV34">
        <f t="shared" si="42"/>
        <v>10.417440599999997</v>
      </c>
      <c r="CW34">
        <f t="shared" si="43"/>
        <v>0</v>
      </c>
      <c r="CX34">
        <f t="shared" si="44"/>
        <v>0</v>
      </c>
      <c r="CY34">
        <f t="shared" si="45"/>
        <v>4067.2170000000001</v>
      </c>
      <c r="CZ34">
        <f t="shared" si="46"/>
        <v>1943.2258999999999</v>
      </c>
      <c r="DC34" t="s">
        <v>4</v>
      </c>
      <c r="DD34" t="s">
        <v>4</v>
      </c>
      <c r="DE34" t="s">
        <v>22</v>
      </c>
      <c r="DF34" t="s">
        <v>22</v>
      </c>
      <c r="DG34" t="s">
        <v>22</v>
      </c>
      <c r="DH34" t="s">
        <v>4</v>
      </c>
      <c r="DI34" t="s">
        <v>22</v>
      </c>
      <c r="DJ34" t="s">
        <v>22</v>
      </c>
      <c r="DK34" t="s">
        <v>4</v>
      </c>
      <c r="DL34" t="s">
        <v>4</v>
      </c>
      <c r="DM34" t="s">
        <v>4</v>
      </c>
      <c r="DN34">
        <v>112</v>
      </c>
      <c r="DO34">
        <v>70</v>
      </c>
      <c r="DP34">
        <v>1.0469999999999999</v>
      </c>
      <c r="DQ34">
        <v>1</v>
      </c>
      <c r="DU34">
        <v>1003</v>
      </c>
      <c r="DV34" t="s">
        <v>46</v>
      </c>
      <c r="DW34" t="s">
        <v>46</v>
      </c>
      <c r="DX34">
        <v>100</v>
      </c>
      <c r="EE34">
        <v>40097141</v>
      </c>
      <c r="EF34">
        <v>40</v>
      </c>
      <c r="EG34" t="s">
        <v>23</v>
      </c>
      <c r="EH34">
        <v>0</v>
      </c>
      <c r="EI34" t="s">
        <v>4</v>
      </c>
      <c r="EJ34">
        <v>2</v>
      </c>
      <c r="EK34">
        <v>331</v>
      </c>
      <c r="EL34" t="s">
        <v>59</v>
      </c>
      <c r="EM34" t="s">
        <v>60</v>
      </c>
      <c r="EO34" t="s">
        <v>26</v>
      </c>
      <c r="EQ34">
        <v>0</v>
      </c>
      <c r="ER34">
        <v>107.48</v>
      </c>
      <c r="ES34">
        <v>15.19</v>
      </c>
      <c r="ET34">
        <v>3.39</v>
      </c>
      <c r="EU34">
        <v>0.79</v>
      </c>
      <c r="EV34">
        <v>88.9</v>
      </c>
      <c r="EW34">
        <v>7.21</v>
      </c>
      <c r="EX34">
        <v>0</v>
      </c>
      <c r="EY34">
        <v>0</v>
      </c>
      <c r="FQ34">
        <v>0</v>
      </c>
      <c r="FR34">
        <f t="shared" si="47"/>
        <v>0</v>
      </c>
      <c r="FS34">
        <v>0</v>
      </c>
      <c r="FX34">
        <v>112</v>
      </c>
      <c r="FY34">
        <v>70</v>
      </c>
      <c r="GA34" t="s">
        <v>4</v>
      </c>
      <c r="GD34">
        <v>0</v>
      </c>
      <c r="GF34">
        <v>2050499607</v>
      </c>
      <c r="GG34">
        <v>2</v>
      </c>
      <c r="GH34">
        <v>1</v>
      </c>
      <c r="GI34">
        <v>2</v>
      </c>
      <c r="GJ34">
        <v>0</v>
      </c>
      <c r="GK34">
        <f>ROUND(R34*(R12)/100,2)</f>
        <v>63.13</v>
      </c>
      <c r="GL34">
        <f t="shared" si="48"/>
        <v>0</v>
      </c>
      <c r="GM34">
        <f t="shared" si="49"/>
        <v>10794.61</v>
      </c>
      <c r="GN34">
        <f t="shared" si="50"/>
        <v>0</v>
      </c>
      <c r="GO34">
        <f t="shared" si="51"/>
        <v>10794.61</v>
      </c>
      <c r="GP34">
        <f t="shared" si="52"/>
        <v>0</v>
      </c>
      <c r="GR34">
        <v>0</v>
      </c>
      <c r="GS34">
        <v>3</v>
      </c>
      <c r="GT34">
        <v>0</v>
      </c>
      <c r="GU34" t="s">
        <v>4</v>
      </c>
      <c r="GV34">
        <f t="shared" si="53"/>
        <v>0</v>
      </c>
      <c r="GW34">
        <v>1</v>
      </c>
      <c r="GX34">
        <f t="shared" si="54"/>
        <v>0</v>
      </c>
      <c r="HA34">
        <v>0</v>
      </c>
      <c r="HB34">
        <v>0</v>
      </c>
      <c r="HC34">
        <f t="shared" si="55"/>
        <v>0</v>
      </c>
      <c r="IK34">
        <v>0</v>
      </c>
    </row>
    <row r="35" spans="1:245" x14ac:dyDescent="0.25">
      <c r="A35">
        <v>17</v>
      </c>
      <c r="B35">
        <v>1</v>
      </c>
      <c r="E35" t="s">
        <v>61</v>
      </c>
      <c r="F35" t="s">
        <v>62</v>
      </c>
      <c r="G35" t="s">
        <v>63</v>
      </c>
      <c r="H35" t="s">
        <v>64</v>
      </c>
      <c r="I35">
        <f>ROUND(40*1.02/1000,9)</f>
        <v>4.0800000000000003E-2</v>
      </c>
      <c r="J35">
        <v>0</v>
      </c>
      <c r="O35">
        <f t="shared" si="21"/>
        <v>4543.66</v>
      </c>
      <c r="P35">
        <f t="shared" si="22"/>
        <v>4543.66</v>
      </c>
      <c r="Q35">
        <f>(ROUND((ROUND(((ET35)*AV35*I35),2)*BB35),2)+ROUND((ROUND(((AE35-(EU35))*AV35*I35),2)*BS35),2))</f>
        <v>0</v>
      </c>
      <c r="R35">
        <f t="shared" si="23"/>
        <v>0</v>
      </c>
      <c r="S35">
        <f t="shared" si="24"/>
        <v>0</v>
      </c>
      <c r="T35">
        <f t="shared" si="25"/>
        <v>0</v>
      </c>
      <c r="U35">
        <f t="shared" si="26"/>
        <v>0</v>
      </c>
      <c r="V35">
        <f t="shared" si="27"/>
        <v>0</v>
      </c>
      <c r="W35">
        <f t="shared" si="28"/>
        <v>0</v>
      </c>
      <c r="X35">
        <f t="shared" si="29"/>
        <v>0</v>
      </c>
      <c r="Y35">
        <f t="shared" si="30"/>
        <v>0</v>
      </c>
      <c r="AA35">
        <v>40520239</v>
      </c>
      <c r="AB35">
        <f t="shared" si="31"/>
        <v>14007.97</v>
      </c>
      <c r="AC35">
        <f t="shared" si="32"/>
        <v>14007.97</v>
      </c>
      <c r="AD35">
        <f>ROUND((((ET35)-(EU35))+AE35),6)</f>
        <v>0</v>
      </c>
      <c r="AE35">
        <f t="shared" ref="AE35:AF37" si="56">ROUND((EU35),6)</f>
        <v>0</v>
      </c>
      <c r="AF35">
        <f t="shared" si="56"/>
        <v>0</v>
      </c>
      <c r="AG35">
        <f t="shared" si="34"/>
        <v>0</v>
      </c>
      <c r="AH35">
        <f t="shared" ref="AH35:AI37" si="57">(EW35)</f>
        <v>0</v>
      </c>
      <c r="AI35">
        <f t="shared" si="57"/>
        <v>0</v>
      </c>
      <c r="AJ35">
        <f t="shared" si="36"/>
        <v>0</v>
      </c>
      <c r="AK35">
        <v>14007.97</v>
      </c>
      <c r="AL35">
        <v>14007.97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7.95</v>
      </c>
      <c r="BD35" t="s">
        <v>4</v>
      </c>
      <c r="BE35" t="s">
        <v>4</v>
      </c>
      <c r="BF35" t="s">
        <v>4</v>
      </c>
      <c r="BG35" t="s">
        <v>4</v>
      </c>
      <c r="BH35">
        <v>3</v>
      </c>
      <c r="BI35">
        <v>2</v>
      </c>
      <c r="BJ35" t="s">
        <v>65</v>
      </c>
      <c r="BM35">
        <v>1618</v>
      </c>
      <c r="BN35">
        <v>0</v>
      </c>
      <c r="BO35" t="s">
        <v>62</v>
      </c>
      <c r="BP35">
        <v>1</v>
      </c>
      <c r="BQ35">
        <v>201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4</v>
      </c>
      <c r="BZ35">
        <v>0</v>
      </c>
      <c r="CA35">
        <v>0</v>
      </c>
      <c r="CE35">
        <v>30</v>
      </c>
      <c r="CF35">
        <v>0</v>
      </c>
      <c r="CG35">
        <v>0</v>
      </c>
      <c r="CM35">
        <v>0</v>
      </c>
      <c r="CN35" t="s">
        <v>4</v>
      </c>
      <c r="CO35">
        <v>0</v>
      </c>
      <c r="CP35">
        <f t="shared" si="37"/>
        <v>4543.66</v>
      </c>
      <c r="CQ35">
        <f t="shared" si="38"/>
        <v>111363.36</v>
      </c>
      <c r="CR35">
        <f>(ROUND((ROUND(((ET35)*AV35*1),2)*BB35),2)+ROUND((ROUND(((AE35-(EU35))*AV35*1),2)*BS35),2))</f>
        <v>0</v>
      </c>
      <c r="CS35">
        <f t="shared" si="39"/>
        <v>0</v>
      </c>
      <c r="CT35">
        <f t="shared" si="40"/>
        <v>0</v>
      </c>
      <c r="CU35">
        <f t="shared" si="41"/>
        <v>0</v>
      </c>
      <c r="CV35">
        <f t="shared" si="42"/>
        <v>0</v>
      </c>
      <c r="CW35">
        <f t="shared" si="43"/>
        <v>0</v>
      </c>
      <c r="CX35">
        <f t="shared" si="44"/>
        <v>0</v>
      </c>
      <c r="CY35">
        <f t="shared" si="45"/>
        <v>0</v>
      </c>
      <c r="CZ35">
        <f t="shared" si="46"/>
        <v>0</v>
      </c>
      <c r="DC35" t="s">
        <v>4</v>
      </c>
      <c r="DD35" t="s">
        <v>4</v>
      </c>
      <c r="DE35" t="s">
        <v>4</v>
      </c>
      <c r="DF35" t="s">
        <v>4</v>
      </c>
      <c r="DG35" t="s">
        <v>4</v>
      </c>
      <c r="DH35" t="s">
        <v>4</v>
      </c>
      <c r="DI35" t="s">
        <v>4</v>
      </c>
      <c r="DJ35" t="s">
        <v>4</v>
      </c>
      <c r="DK35" t="s">
        <v>4</v>
      </c>
      <c r="DL35" t="s">
        <v>4</v>
      </c>
      <c r="DM35" t="s">
        <v>4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64</v>
      </c>
      <c r="DW35" t="s">
        <v>64</v>
      </c>
      <c r="DX35">
        <v>1000</v>
      </c>
      <c r="EE35">
        <v>40098428</v>
      </c>
      <c r="EF35">
        <v>201</v>
      </c>
      <c r="EG35" t="s">
        <v>66</v>
      </c>
      <c r="EH35">
        <v>0</v>
      </c>
      <c r="EI35" t="s">
        <v>4</v>
      </c>
      <c r="EJ35">
        <v>2</v>
      </c>
      <c r="EK35">
        <v>1618</v>
      </c>
      <c r="EL35" t="s">
        <v>67</v>
      </c>
      <c r="EM35" t="s">
        <v>68</v>
      </c>
      <c r="EO35" t="s">
        <v>4</v>
      </c>
      <c r="EQ35">
        <v>0</v>
      </c>
      <c r="ER35">
        <v>14007.97</v>
      </c>
      <c r="ES35">
        <v>14007.97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7"/>
        <v>0</v>
      </c>
      <c r="FS35">
        <v>0</v>
      </c>
      <c r="FX35">
        <v>0</v>
      </c>
      <c r="FY35">
        <v>0</v>
      </c>
      <c r="GA35" t="s">
        <v>4</v>
      </c>
      <c r="GD35">
        <v>0</v>
      </c>
      <c r="GF35">
        <v>-1954660778</v>
      </c>
      <c r="GG35">
        <v>2</v>
      </c>
      <c r="GH35">
        <v>1</v>
      </c>
      <c r="GI35">
        <v>2</v>
      </c>
      <c r="GJ35">
        <v>0</v>
      </c>
      <c r="GK35">
        <f>ROUND(R35*(R12)/100,2)</f>
        <v>0</v>
      </c>
      <c r="GL35">
        <f t="shared" si="48"/>
        <v>0</v>
      </c>
      <c r="GM35">
        <f t="shared" si="49"/>
        <v>4543.66</v>
      </c>
      <c r="GN35">
        <f t="shared" si="50"/>
        <v>0</v>
      </c>
      <c r="GO35">
        <f t="shared" si="51"/>
        <v>4543.66</v>
      </c>
      <c r="GP35">
        <f t="shared" si="52"/>
        <v>0</v>
      </c>
      <c r="GR35">
        <v>0</v>
      </c>
      <c r="GS35">
        <v>3</v>
      </c>
      <c r="GT35">
        <v>0</v>
      </c>
      <c r="GU35" t="s">
        <v>4</v>
      </c>
      <c r="GV35">
        <f t="shared" si="53"/>
        <v>0</v>
      </c>
      <c r="GW35">
        <v>1</v>
      </c>
      <c r="GX35">
        <f t="shared" si="54"/>
        <v>0</v>
      </c>
      <c r="HA35">
        <v>0</v>
      </c>
      <c r="HB35">
        <v>0</v>
      </c>
      <c r="HC35">
        <f t="shared" si="55"/>
        <v>0</v>
      </c>
      <c r="IK35">
        <v>0</v>
      </c>
    </row>
    <row r="36" spans="1:245" x14ac:dyDescent="0.25">
      <c r="A36">
        <v>17</v>
      </c>
      <c r="B36">
        <v>1</v>
      </c>
      <c r="E36" t="s">
        <v>69</v>
      </c>
      <c r="F36" t="s">
        <v>70</v>
      </c>
      <c r="G36" t="s">
        <v>71</v>
      </c>
      <c r="H36" t="s">
        <v>64</v>
      </c>
      <c r="I36">
        <f>ROUND(100*1.02/1000,9)</f>
        <v>0.10199999999999999</v>
      </c>
      <c r="J36">
        <v>0</v>
      </c>
      <c r="O36">
        <f t="shared" si="21"/>
        <v>13519.87</v>
      </c>
      <c r="P36">
        <f t="shared" si="22"/>
        <v>13519.87</v>
      </c>
      <c r="Q36">
        <f>(ROUND((ROUND(((ET36)*AV36*I36),2)*BB36),2)+ROUND((ROUND(((AE36-(EU36))*AV36*I36),2)*BS36),2))</f>
        <v>0</v>
      </c>
      <c r="R36">
        <f t="shared" si="23"/>
        <v>0</v>
      </c>
      <c r="S36">
        <f t="shared" si="24"/>
        <v>0</v>
      </c>
      <c r="T36">
        <f t="shared" si="25"/>
        <v>0</v>
      </c>
      <c r="U36">
        <f t="shared" si="26"/>
        <v>0</v>
      </c>
      <c r="V36">
        <f t="shared" si="27"/>
        <v>0</v>
      </c>
      <c r="W36">
        <f t="shared" si="28"/>
        <v>0</v>
      </c>
      <c r="X36">
        <f t="shared" si="29"/>
        <v>0</v>
      </c>
      <c r="Y36">
        <f t="shared" si="30"/>
        <v>0</v>
      </c>
      <c r="AA36">
        <v>40520239</v>
      </c>
      <c r="AB36">
        <f t="shared" si="31"/>
        <v>36414.18</v>
      </c>
      <c r="AC36">
        <f t="shared" si="32"/>
        <v>36414.18</v>
      </c>
      <c r="AD36">
        <f>ROUND((((ET36)-(EU36))+AE36),6)</f>
        <v>0</v>
      </c>
      <c r="AE36">
        <f t="shared" si="56"/>
        <v>0</v>
      </c>
      <c r="AF36">
        <f t="shared" si="56"/>
        <v>0</v>
      </c>
      <c r="AG36">
        <f t="shared" si="34"/>
        <v>0</v>
      </c>
      <c r="AH36">
        <f t="shared" si="57"/>
        <v>0</v>
      </c>
      <c r="AI36">
        <f t="shared" si="57"/>
        <v>0</v>
      </c>
      <c r="AJ36">
        <f t="shared" si="36"/>
        <v>0</v>
      </c>
      <c r="AK36">
        <v>36414.18</v>
      </c>
      <c r="AL36">
        <v>36414.18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3.64</v>
      </c>
      <c r="BD36" t="s">
        <v>4</v>
      </c>
      <c r="BE36" t="s">
        <v>4</v>
      </c>
      <c r="BF36" t="s">
        <v>4</v>
      </c>
      <c r="BG36" t="s">
        <v>4</v>
      </c>
      <c r="BH36">
        <v>3</v>
      </c>
      <c r="BI36">
        <v>2</v>
      </c>
      <c r="BJ36" t="s">
        <v>72</v>
      </c>
      <c r="BM36">
        <v>1618</v>
      </c>
      <c r="BN36">
        <v>0</v>
      </c>
      <c r="BO36" t="s">
        <v>70</v>
      </c>
      <c r="BP36">
        <v>1</v>
      </c>
      <c r="BQ36">
        <v>201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4</v>
      </c>
      <c r="BZ36">
        <v>0</v>
      </c>
      <c r="CA36">
        <v>0</v>
      </c>
      <c r="CE36">
        <v>30</v>
      </c>
      <c r="CF36">
        <v>0</v>
      </c>
      <c r="CG36">
        <v>0</v>
      </c>
      <c r="CM36">
        <v>0</v>
      </c>
      <c r="CN36" t="s">
        <v>4</v>
      </c>
      <c r="CO36">
        <v>0</v>
      </c>
      <c r="CP36">
        <f t="shared" si="37"/>
        <v>13519.87</v>
      </c>
      <c r="CQ36">
        <f t="shared" si="38"/>
        <v>132547.62</v>
      </c>
      <c r="CR36">
        <f>(ROUND((ROUND(((ET36)*AV36*1),2)*BB36),2)+ROUND((ROUND(((AE36-(EU36))*AV36*1),2)*BS36),2))</f>
        <v>0</v>
      </c>
      <c r="CS36">
        <f t="shared" si="39"/>
        <v>0</v>
      </c>
      <c r="CT36">
        <f t="shared" si="40"/>
        <v>0</v>
      </c>
      <c r="CU36">
        <f t="shared" si="41"/>
        <v>0</v>
      </c>
      <c r="CV36">
        <f t="shared" si="42"/>
        <v>0</v>
      </c>
      <c r="CW36">
        <f t="shared" si="43"/>
        <v>0</v>
      </c>
      <c r="CX36">
        <f t="shared" si="44"/>
        <v>0</v>
      </c>
      <c r="CY36">
        <f t="shared" si="45"/>
        <v>0</v>
      </c>
      <c r="CZ36">
        <f t="shared" si="46"/>
        <v>0</v>
      </c>
      <c r="DC36" t="s">
        <v>4</v>
      </c>
      <c r="DD36" t="s">
        <v>4</v>
      </c>
      <c r="DE36" t="s">
        <v>4</v>
      </c>
      <c r="DF36" t="s">
        <v>4</v>
      </c>
      <c r="DG36" t="s">
        <v>4</v>
      </c>
      <c r="DH36" t="s">
        <v>4</v>
      </c>
      <c r="DI36" t="s">
        <v>4</v>
      </c>
      <c r="DJ36" t="s">
        <v>4</v>
      </c>
      <c r="DK36" t="s">
        <v>4</v>
      </c>
      <c r="DL36" t="s">
        <v>4</v>
      </c>
      <c r="DM36" t="s">
        <v>4</v>
      </c>
      <c r="DN36">
        <v>0</v>
      </c>
      <c r="DO36">
        <v>0</v>
      </c>
      <c r="DP36">
        <v>1</v>
      </c>
      <c r="DQ36">
        <v>1</v>
      </c>
      <c r="DU36">
        <v>1003</v>
      </c>
      <c r="DV36" t="s">
        <v>64</v>
      </c>
      <c r="DW36" t="s">
        <v>64</v>
      </c>
      <c r="DX36">
        <v>1000</v>
      </c>
      <c r="EE36">
        <v>40098428</v>
      </c>
      <c r="EF36">
        <v>201</v>
      </c>
      <c r="EG36" t="s">
        <v>66</v>
      </c>
      <c r="EH36">
        <v>0</v>
      </c>
      <c r="EI36" t="s">
        <v>4</v>
      </c>
      <c r="EJ36">
        <v>2</v>
      </c>
      <c r="EK36">
        <v>1618</v>
      </c>
      <c r="EL36" t="s">
        <v>67</v>
      </c>
      <c r="EM36" t="s">
        <v>68</v>
      </c>
      <c r="EO36" t="s">
        <v>4</v>
      </c>
      <c r="EQ36">
        <v>0</v>
      </c>
      <c r="ER36">
        <v>36414.18</v>
      </c>
      <c r="ES36">
        <v>36414.18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47"/>
        <v>0</v>
      </c>
      <c r="FS36">
        <v>0</v>
      </c>
      <c r="FX36">
        <v>0</v>
      </c>
      <c r="FY36">
        <v>0</v>
      </c>
      <c r="GA36" t="s">
        <v>4</v>
      </c>
      <c r="GD36">
        <v>0</v>
      </c>
      <c r="GF36">
        <v>92379816</v>
      </c>
      <c r="GG36">
        <v>2</v>
      </c>
      <c r="GH36">
        <v>1</v>
      </c>
      <c r="GI36">
        <v>2</v>
      </c>
      <c r="GJ36">
        <v>0</v>
      </c>
      <c r="GK36">
        <f>ROUND(R36*(R12)/100,2)</f>
        <v>0</v>
      </c>
      <c r="GL36">
        <f t="shared" si="48"/>
        <v>0</v>
      </c>
      <c r="GM36">
        <f t="shared" si="49"/>
        <v>13519.87</v>
      </c>
      <c r="GN36">
        <f t="shared" si="50"/>
        <v>0</v>
      </c>
      <c r="GO36">
        <f t="shared" si="51"/>
        <v>13519.87</v>
      </c>
      <c r="GP36">
        <f t="shared" si="52"/>
        <v>0</v>
      </c>
      <c r="GR36">
        <v>0</v>
      </c>
      <c r="GS36">
        <v>3</v>
      </c>
      <c r="GT36">
        <v>0</v>
      </c>
      <c r="GU36" t="s">
        <v>4</v>
      </c>
      <c r="GV36">
        <f t="shared" si="53"/>
        <v>0</v>
      </c>
      <c r="GW36">
        <v>1</v>
      </c>
      <c r="GX36">
        <f t="shared" si="54"/>
        <v>0</v>
      </c>
      <c r="HA36">
        <v>0</v>
      </c>
      <c r="HB36">
        <v>0</v>
      </c>
      <c r="HC36">
        <f t="shared" si="55"/>
        <v>0</v>
      </c>
      <c r="IK36">
        <v>0</v>
      </c>
    </row>
    <row r="37" spans="1:245" x14ac:dyDescent="0.25">
      <c r="A37">
        <v>17</v>
      </c>
      <c r="B37">
        <v>1</v>
      </c>
      <c r="E37" t="s">
        <v>73</v>
      </c>
      <c r="F37" t="s">
        <v>74</v>
      </c>
      <c r="G37" t="s">
        <v>75</v>
      </c>
      <c r="H37" t="s">
        <v>76</v>
      </c>
      <c r="I37">
        <f>ROUND(400/100,9)</f>
        <v>4</v>
      </c>
      <c r="J37">
        <v>0</v>
      </c>
      <c r="O37">
        <f t="shared" si="21"/>
        <v>258.55</v>
      </c>
      <c r="P37">
        <f t="shared" si="22"/>
        <v>258.55</v>
      </c>
      <c r="Q37">
        <f>(ROUND((ROUND(((ET37)*AV37*I37),2)*BB37),2)+ROUND((ROUND(((AE37-(EU37))*AV37*I37),2)*BS37),2))</f>
        <v>0</v>
      </c>
      <c r="R37">
        <f t="shared" si="23"/>
        <v>0</v>
      </c>
      <c r="S37">
        <f t="shared" si="24"/>
        <v>0</v>
      </c>
      <c r="T37">
        <f t="shared" si="25"/>
        <v>0</v>
      </c>
      <c r="U37">
        <f t="shared" si="26"/>
        <v>0</v>
      </c>
      <c r="V37">
        <f t="shared" si="27"/>
        <v>0</v>
      </c>
      <c r="W37">
        <f t="shared" si="28"/>
        <v>0</v>
      </c>
      <c r="X37">
        <f t="shared" si="29"/>
        <v>0</v>
      </c>
      <c r="Y37">
        <f t="shared" si="30"/>
        <v>0</v>
      </c>
      <c r="AA37">
        <v>40520239</v>
      </c>
      <c r="AB37">
        <f t="shared" si="31"/>
        <v>26.71</v>
      </c>
      <c r="AC37">
        <f t="shared" si="32"/>
        <v>26.71</v>
      </c>
      <c r="AD37">
        <f>ROUND((((ET37)-(EU37))+AE37),6)</f>
        <v>0</v>
      </c>
      <c r="AE37">
        <f t="shared" si="56"/>
        <v>0</v>
      </c>
      <c r="AF37">
        <f t="shared" si="56"/>
        <v>0</v>
      </c>
      <c r="AG37">
        <f t="shared" si="34"/>
        <v>0</v>
      </c>
      <c r="AH37">
        <f t="shared" si="57"/>
        <v>0</v>
      </c>
      <c r="AI37">
        <f t="shared" si="57"/>
        <v>0</v>
      </c>
      <c r="AJ37">
        <f t="shared" si="36"/>
        <v>0</v>
      </c>
      <c r="AK37">
        <v>26.71</v>
      </c>
      <c r="AL37">
        <v>26.71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2.42</v>
      </c>
      <c r="BD37" t="s">
        <v>4</v>
      </c>
      <c r="BE37" t="s">
        <v>4</v>
      </c>
      <c r="BF37" t="s">
        <v>4</v>
      </c>
      <c r="BG37" t="s">
        <v>4</v>
      </c>
      <c r="BH37">
        <v>3</v>
      </c>
      <c r="BI37">
        <v>2</v>
      </c>
      <c r="BJ37" t="s">
        <v>77</v>
      </c>
      <c r="BM37">
        <v>1618</v>
      </c>
      <c r="BN37">
        <v>0</v>
      </c>
      <c r="BO37" t="s">
        <v>74</v>
      </c>
      <c r="BP37">
        <v>1</v>
      </c>
      <c r="BQ37">
        <v>201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4</v>
      </c>
      <c r="BZ37">
        <v>0</v>
      </c>
      <c r="CA37">
        <v>0</v>
      </c>
      <c r="CE37">
        <v>30</v>
      </c>
      <c r="CF37">
        <v>0</v>
      </c>
      <c r="CG37">
        <v>0</v>
      </c>
      <c r="CM37">
        <v>0</v>
      </c>
      <c r="CN37" t="s">
        <v>4</v>
      </c>
      <c r="CO37">
        <v>0</v>
      </c>
      <c r="CP37">
        <f t="shared" si="37"/>
        <v>258.55</v>
      </c>
      <c r="CQ37">
        <f t="shared" si="38"/>
        <v>64.64</v>
      </c>
      <c r="CR37">
        <f>(ROUND((ROUND(((ET37)*AV37*1),2)*BB37),2)+ROUND((ROUND(((AE37-(EU37))*AV37*1),2)*BS37),2))</f>
        <v>0</v>
      </c>
      <c r="CS37">
        <f t="shared" si="39"/>
        <v>0</v>
      </c>
      <c r="CT37">
        <f t="shared" si="40"/>
        <v>0</v>
      </c>
      <c r="CU37">
        <f t="shared" si="41"/>
        <v>0</v>
      </c>
      <c r="CV37">
        <f t="shared" si="42"/>
        <v>0</v>
      </c>
      <c r="CW37">
        <f t="shared" si="43"/>
        <v>0</v>
      </c>
      <c r="CX37">
        <f t="shared" si="44"/>
        <v>0</v>
      </c>
      <c r="CY37">
        <f t="shared" si="45"/>
        <v>0</v>
      </c>
      <c r="CZ37">
        <f t="shared" si="46"/>
        <v>0</v>
      </c>
      <c r="DC37" t="s">
        <v>4</v>
      </c>
      <c r="DD37" t="s">
        <v>4</v>
      </c>
      <c r="DE37" t="s">
        <v>4</v>
      </c>
      <c r="DF37" t="s">
        <v>4</v>
      </c>
      <c r="DG37" t="s">
        <v>4</v>
      </c>
      <c r="DH37" t="s">
        <v>4</v>
      </c>
      <c r="DI37" t="s">
        <v>4</v>
      </c>
      <c r="DJ37" t="s">
        <v>4</v>
      </c>
      <c r="DK37" t="s">
        <v>4</v>
      </c>
      <c r="DL37" t="s">
        <v>4</v>
      </c>
      <c r="DM37" t="s">
        <v>4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76</v>
      </c>
      <c r="DW37" t="s">
        <v>76</v>
      </c>
      <c r="DX37">
        <v>100</v>
      </c>
      <c r="EE37">
        <v>40098428</v>
      </c>
      <c r="EF37">
        <v>201</v>
      </c>
      <c r="EG37" t="s">
        <v>66</v>
      </c>
      <c r="EH37">
        <v>0</v>
      </c>
      <c r="EI37" t="s">
        <v>4</v>
      </c>
      <c r="EJ37">
        <v>2</v>
      </c>
      <c r="EK37">
        <v>1618</v>
      </c>
      <c r="EL37" t="s">
        <v>67</v>
      </c>
      <c r="EM37" t="s">
        <v>68</v>
      </c>
      <c r="EO37" t="s">
        <v>4</v>
      </c>
      <c r="EQ37">
        <v>0</v>
      </c>
      <c r="ER37">
        <v>26.71</v>
      </c>
      <c r="ES37">
        <v>26.71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47"/>
        <v>0</v>
      </c>
      <c r="FS37">
        <v>0</v>
      </c>
      <c r="FX37">
        <v>0</v>
      </c>
      <c r="FY37">
        <v>0</v>
      </c>
      <c r="GA37" t="s">
        <v>4</v>
      </c>
      <c r="GD37">
        <v>0</v>
      </c>
      <c r="GF37">
        <v>1608066660</v>
      </c>
      <c r="GG37">
        <v>2</v>
      </c>
      <c r="GH37">
        <v>1</v>
      </c>
      <c r="GI37">
        <v>2</v>
      </c>
      <c r="GJ37">
        <v>0</v>
      </c>
      <c r="GK37">
        <f>ROUND(R37*(R12)/100,2)</f>
        <v>0</v>
      </c>
      <c r="GL37">
        <f t="shared" si="48"/>
        <v>0</v>
      </c>
      <c r="GM37">
        <f t="shared" si="49"/>
        <v>258.55</v>
      </c>
      <c r="GN37">
        <f t="shared" si="50"/>
        <v>0</v>
      </c>
      <c r="GO37">
        <f t="shared" si="51"/>
        <v>258.55</v>
      </c>
      <c r="GP37">
        <f t="shared" si="52"/>
        <v>0</v>
      </c>
      <c r="GR37">
        <v>0</v>
      </c>
      <c r="GS37">
        <v>3</v>
      </c>
      <c r="GT37">
        <v>0</v>
      </c>
      <c r="GU37" t="s">
        <v>4</v>
      </c>
      <c r="GV37">
        <f t="shared" si="53"/>
        <v>0</v>
      </c>
      <c r="GW37">
        <v>1</v>
      </c>
      <c r="GX37">
        <f t="shared" si="54"/>
        <v>0</v>
      </c>
      <c r="HA37">
        <v>0</v>
      </c>
      <c r="HB37">
        <v>0</v>
      </c>
      <c r="HC37">
        <f t="shared" si="55"/>
        <v>0</v>
      </c>
      <c r="IK37">
        <v>0</v>
      </c>
    </row>
    <row r="38" spans="1:245" x14ac:dyDescent="0.25">
      <c r="A38">
        <v>17</v>
      </c>
      <c r="B38">
        <v>1</v>
      </c>
      <c r="C38">
        <f>ROW(SmtRes!A8)</f>
        <v>8</v>
      </c>
      <c r="D38">
        <f>ROW(EtalonRes!A9)</f>
        <v>9</v>
      </c>
      <c r="E38" t="s">
        <v>78</v>
      </c>
      <c r="F38" t="s">
        <v>79</v>
      </c>
      <c r="G38" t="s">
        <v>80</v>
      </c>
      <c r="H38" t="s">
        <v>46</v>
      </c>
      <c r="I38">
        <f>ROUND(20/100,9)</f>
        <v>0.2</v>
      </c>
      <c r="J38">
        <v>0</v>
      </c>
      <c r="O38">
        <f t="shared" si="21"/>
        <v>3818.27</v>
      </c>
      <c r="P38">
        <f t="shared" si="22"/>
        <v>91.81</v>
      </c>
      <c r="Q38">
        <f>(ROUND((ROUND(((((ET38*1.2)*1.15))*AV38*I38),2)*BB38),2)+ROUND((ROUND(((AE38-(((EU38*1.2)*1.15)))*AV38*I38),2)*BS38),2))</f>
        <v>58.23</v>
      </c>
      <c r="R38">
        <f t="shared" si="23"/>
        <v>12.57</v>
      </c>
      <c r="S38">
        <f t="shared" si="24"/>
        <v>3668.23</v>
      </c>
      <c r="T38">
        <f t="shared" si="25"/>
        <v>0</v>
      </c>
      <c r="U38">
        <f t="shared" si="26"/>
        <v>11.838578399999999</v>
      </c>
      <c r="V38">
        <f t="shared" si="27"/>
        <v>0</v>
      </c>
      <c r="W38">
        <f t="shared" si="28"/>
        <v>0</v>
      </c>
      <c r="X38">
        <f t="shared" si="29"/>
        <v>3301.41</v>
      </c>
      <c r="Y38">
        <f t="shared" si="30"/>
        <v>1577.34</v>
      </c>
      <c r="AA38">
        <v>40520239</v>
      </c>
      <c r="AB38">
        <f t="shared" si="31"/>
        <v>792.16459999999995</v>
      </c>
      <c r="AC38">
        <f t="shared" si="32"/>
        <v>68.81</v>
      </c>
      <c r="AD38">
        <f>ROUND((((((ET38*1.2)*1.15))-(((EU38*1.2)*1.15)))+AE38),6)</f>
        <v>39.33</v>
      </c>
      <c r="AE38">
        <f>ROUND((((EU38*1.2)*1.15)),6)</f>
        <v>2.3321999999999998</v>
      </c>
      <c r="AF38">
        <f>ROUND((((EV38*1.2)*1.15)),6)</f>
        <v>684.02459999999996</v>
      </c>
      <c r="AG38">
        <f t="shared" si="34"/>
        <v>0</v>
      </c>
      <c r="AH38">
        <f>(((EW38*1.2)*1.15))</f>
        <v>55.475999999999999</v>
      </c>
      <c r="AI38">
        <f>(((EX38*1.2)*1.15))</f>
        <v>0</v>
      </c>
      <c r="AJ38">
        <f t="shared" si="36"/>
        <v>0</v>
      </c>
      <c r="AK38">
        <v>592.98</v>
      </c>
      <c r="AL38">
        <v>68.81</v>
      </c>
      <c r="AM38">
        <v>28.5</v>
      </c>
      <c r="AN38">
        <v>1.69</v>
      </c>
      <c r="AO38">
        <v>495.67</v>
      </c>
      <c r="AP38">
        <v>0</v>
      </c>
      <c r="AQ38">
        <v>40.200000000000003</v>
      </c>
      <c r="AR38">
        <v>0</v>
      </c>
      <c r="AS38">
        <v>0</v>
      </c>
      <c r="AT38">
        <v>90</v>
      </c>
      <c r="AU38">
        <v>43</v>
      </c>
      <c r="AV38">
        <v>1.0669999999999999</v>
      </c>
      <c r="AW38">
        <v>1.081</v>
      </c>
      <c r="AZ38">
        <v>1</v>
      </c>
      <c r="BA38">
        <v>25.13</v>
      </c>
      <c r="BB38">
        <v>6.94</v>
      </c>
      <c r="BC38">
        <v>6.17</v>
      </c>
      <c r="BD38" t="s">
        <v>4</v>
      </c>
      <c r="BE38" t="s">
        <v>4</v>
      </c>
      <c r="BF38" t="s">
        <v>4</v>
      </c>
      <c r="BG38" t="s">
        <v>4</v>
      </c>
      <c r="BH38">
        <v>0</v>
      </c>
      <c r="BI38">
        <v>2</v>
      </c>
      <c r="BJ38" t="s">
        <v>81</v>
      </c>
      <c r="BM38">
        <v>332</v>
      </c>
      <c r="BN38">
        <v>0</v>
      </c>
      <c r="BO38" t="s">
        <v>79</v>
      </c>
      <c r="BP38">
        <v>1</v>
      </c>
      <c r="BQ38">
        <v>40</v>
      </c>
      <c r="BR38">
        <v>0</v>
      </c>
      <c r="BS38">
        <v>25.13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4</v>
      </c>
      <c r="BZ38">
        <v>90</v>
      </c>
      <c r="CA38">
        <v>43</v>
      </c>
      <c r="CE38">
        <v>30</v>
      </c>
      <c r="CF38">
        <v>0</v>
      </c>
      <c r="CG38">
        <v>0</v>
      </c>
      <c r="CM38">
        <v>0</v>
      </c>
      <c r="CN38" t="s">
        <v>209</v>
      </c>
      <c r="CO38">
        <v>0</v>
      </c>
      <c r="CP38">
        <f t="shared" si="37"/>
        <v>3818.27</v>
      </c>
      <c r="CQ38">
        <f t="shared" si="38"/>
        <v>458.92</v>
      </c>
      <c r="CR38">
        <f>(ROUND((ROUND(((((ET38*1.2)*1.15))*AV38*1),2)*BB38),2)+ROUND((ROUND(((AE38-(((EU38*1.2)*1.15)))*AV38*1),2)*BS38),2))</f>
        <v>291.27</v>
      </c>
      <c r="CS38">
        <f t="shared" si="39"/>
        <v>62.57</v>
      </c>
      <c r="CT38">
        <f t="shared" si="40"/>
        <v>18341.13</v>
      </c>
      <c r="CU38">
        <f t="shared" si="41"/>
        <v>0</v>
      </c>
      <c r="CV38">
        <f t="shared" si="42"/>
        <v>59.192891999999993</v>
      </c>
      <c r="CW38">
        <f t="shared" si="43"/>
        <v>0</v>
      </c>
      <c r="CX38">
        <f t="shared" si="44"/>
        <v>0</v>
      </c>
      <c r="CY38">
        <f t="shared" si="45"/>
        <v>3301.4070000000002</v>
      </c>
      <c r="CZ38">
        <f t="shared" si="46"/>
        <v>1577.3389</v>
      </c>
      <c r="DC38" t="s">
        <v>4</v>
      </c>
      <c r="DD38" t="s">
        <v>4</v>
      </c>
      <c r="DE38" t="s">
        <v>22</v>
      </c>
      <c r="DF38" t="s">
        <v>22</v>
      </c>
      <c r="DG38" t="s">
        <v>22</v>
      </c>
      <c r="DH38" t="s">
        <v>4</v>
      </c>
      <c r="DI38" t="s">
        <v>22</v>
      </c>
      <c r="DJ38" t="s">
        <v>22</v>
      </c>
      <c r="DK38" t="s">
        <v>4</v>
      </c>
      <c r="DL38" t="s">
        <v>4</v>
      </c>
      <c r="DM38" t="s">
        <v>4</v>
      </c>
      <c r="DN38">
        <v>112</v>
      </c>
      <c r="DO38">
        <v>70</v>
      </c>
      <c r="DP38">
        <v>1.0669999999999999</v>
      </c>
      <c r="DQ38">
        <v>1.081</v>
      </c>
      <c r="DU38">
        <v>1003</v>
      </c>
      <c r="DV38" t="s">
        <v>46</v>
      </c>
      <c r="DW38" t="s">
        <v>46</v>
      </c>
      <c r="DX38">
        <v>100</v>
      </c>
      <c r="EE38">
        <v>40097142</v>
      </c>
      <c r="EF38">
        <v>40</v>
      </c>
      <c r="EG38" t="s">
        <v>23</v>
      </c>
      <c r="EH38">
        <v>0</v>
      </c>
      <c r="EI38" t="s">
        <v>4</v>
      </c>
      <c r="EJ38">
        <v>2</v>
      </c>
      <c r="EK38">
        <v>332</v>
      </c>
      <c r="EL38" t="s">
        <v>82</v>
      </c>
      <c r="EM38" t="s">
        <v>83</v>
      </c>
      <c r="EO38" t="s">
        <v>26</v>
      </c>
      <c r="EQ38">
        <v>0</v>
      </c>
      <c r="ER38">
        <v>592.98</v>
      </c>
      <c r="ES38">
        <v>68.81</v>
      </c>
      <c r="ET38">
        <v>28.5</v>
      </c>
      <c r="EU38">
        <v>1.69</v>
      </c>
      <c r="EV38">
        <v>495.67</v>
      </c>
      <c r="EW38">
        <v>40.200000000000003</v>
      </c>
      <c r="EX38">
        <v>0</v>
      </c>
      <c r="EY38">
        <v>0</v>
      </c>
      <c r="FQ38">
        <v>0</v>
      </c>
      <c r="FR38">
        <f t="shared" si="47"/>
        <v>0</v>
      </c>
      <c r="FS38">
        <v>0</v>
      </c>
      <c r="FX38">
        <v>112</v>
      </c>
      <c r="FY38">
        <v>70</v>
      </c>
      <c r="GA38" t="s">
        <v>4</v>
      </c>
      <c r="GD38">
        <v>0</v>
      </c>
      <c r="GF38">
        <v>1534417481</v>
      </c>
      <c r="GG38">
        <v>2</v>
      </c>
      <c r="GH38">
        <v>1</v>
      </c>
      <c r="GI38">
        <v>2</v>
      </c>
      <c r="GJ38">
        <v>0</v>
      </c>
      <c r="GK38">
        <f>ROUND(R38*(R12)/100,2)</f>
        <v>19.73</v>
      </c>
      <c r="GL38">
        <f t="shared" si="48"/>
        <v>0</v>
      </c>
      <c r="GM38">
        <f t="shared" si="49"/>
        <v>8716.75</v>
      </c>
      <c r="GN38">
        <f t="shared" si="50"/>
        <v>0</v>
      </c>
      <c r="GO38">
        <f t="shared" si="51"/>
        <v>8716.75</v>
      </c>
      <c r="GP38">
        <f t="shared" si="52"/>
        <v>0</v>
      </c>
      <c r="GR38">
        <v>0</v>
      </c>
      <c r="GS38">
        <v>3</v>
      </c>
      <c r="GT38">
        <v>0</v>
      </c>
      <c r="GU38" t="s">
        <v>4</v>
      </c>
      <c r="GV38">
        <f t="shared" si="53"/>
        <v>0</v>
      </c>
      <c r="GW38">
        <v>1</v>
      </c>
      <c r="GX38">
        <f t="shared" si="54"/>
        <v>0</v>
      </c>
      <c r="HA38">
        <v>0</v>
      </c>
      <c r="HB38">
        <v>0</v>
      </c>
      <c r="HC38">
        <f t="shared" si="55"/>
        <v>0</v>
      </c>
      <c r="IK38">
        <v>0</v>
      </c>
    </row>
    <row r="39" spans="1:245" x14ac:dyDescent="0.25">
      <c r="A39">
        <v>17</v>
      </c>
      <c r="B39">
        <v>1</v>
      </c>
      <c r="E39" t="s">
        <v>84</v>
      </c>
      <c r="F39" t="s">
        <v>85</v>
      </c>
      <c r="G39" t="s">
        <v>86</v>
      </c>
      <c r="H39" t="s">
        <v>64</v>
      </c>
      <c r="I39">
        <f>ROUND(20*1.03/1000,9)</f>
        <v>2.06E-2</v>
      </c>
      <c r="J39">
        <v>0</v>
      </c>
      <c r="O39">
        <f t="shared" si="21"/>
        <v>879.1</v>
      </c>
      <c r="P39">
        <f t="shared" si="22"/>
        <v>879.1</v>
      </c>
      <c r="Q39">
        <f>(ROUND((ROUND(((ET39)*AV39*I39),2)*BB39),2)+ROUND((ROUND(((AE39-(EU39))*AV39*I39),2)*BS39),2))</f>
        <v>0</v>
      </c>
      <c r="R39">
        <f t="shared" si="23"/>
        <v>0</v>
      </c>
      <c r="S39">
        <f t="shared" si="24"/>
        <v>0</v>
      </c>
      <c r="T39">
        <f t="shared" si="25"/>
        <v>0</v>
      </c>
      <c r="U39">
        <f t="shared" si="26"/>
        <v>0</v>
      </c>
      <c r="V39">
        <f t="shared" si="27"/>
        <v>0</v>
      </c>
      <c r="W39">
        <f t="shared" si="28"/>
        <v>0</v>
      </c>
      <c r="X39">
        <f t="shared" si="29"/>
        <v>0</v>
      </c>
      <c r="Y39">
        <f t="shared" si="30"/>
        <v>0</v>
      </c>
      <c r="AA39">
        <v>40520239</v>
      </c>
      <c r="AB39">
        <f t="shared" si="31"/>
        <v>6070.27</v>
      </c>
      <c r="AC39">
        <f t="shared" si="32"/>
        <v>6070.27</v>
      </c>
      <c r="AD39">
        <f>ROUND((((ET39)-(EU39))+AE39),6)</f>
        <v>0</v>
      </c>
      <c r="AE39">
        <f>ROUND((EU39),6)</f>
        <v>0</v>
      </c>
      <c r="AF39">
        <f>ROUND((EV39),6)</f>
        <v>0</v>
      </c>
      <c r="AG39">
        <f t="shared" si="34"/>
        <v>0</v>
      </c>
      <c r="AH39">
        <f>(EW39)</f>
        <v>0</v>
      </c>
      <c r="AI39">
        <f>(EX39)</f>
        <v>0</v>
      </c>
      <c r="AJ39">
        <f t="shared" si="36"/>
        <v>0</v>
      </c>
      <c r="AK39">
        <v>6070.27</v>
      </c>
      <c r="AL39">
        <v>6070.27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7.03</v>
      </c>
      <c r="BD39" t="s">
        <v>4</v>
      </c>
      <c r="BE39" t="s">
        <v>4</v>
      </c>
      <c r="BF39" t="s">
        <v>4</v>
      </c>
      <c r="BG39" t="s">
        <v>4</v>
      </c>
      <c r="BH39">
        <v>3</v>
      </c>
      <c r="BI39">
        <v>2</v>
      </c>
      <c r="BJ39" t="s">
        <v>87</v>
      </c>
      <c r="BM39">
        <v>1618</v>
      </c>
      <c r="BN39">
        <v>0</v>
      </c>
      <c r="BO39" t="s">
        <v>85</v>
      </c>
      <c r="BP39">
        <v>1</v>
      </c>
      <c r="BQ39">
        <v>201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4</v>
      </c>
      <c r="BZ39">
        <v>0</v>
      </c>
      <c r="CA39">
        <v>0</v>
      </c>
      <c r="CE39">
        <v>30</v>
      </c>
      <c r="CF39">
        <v>0</v>
      </c>
      <c r="CG39">
        <v>0</v>
      </c>
      <c r="CM39">
        <v>0</v>
      </c>
      <c r="CN39" t="s">
        <v>4</v>
      </c>
      <c r="CO39">
        <v>0</v>
      </c>
      <c r="CP39">
        <f t="shared" si="37"/>
        <v>879.1</v>
      </c>
      <c r="CQ39">
        <f t="shared" si="38"/>
        <v>42674</v>
      </c>
      <c r="CR39">
        <f>(ROUND((ROUND(((ET39)*AV39*1),2)*BB39),2)+ROUND((ROUND(((AE39-(EU39))*AV39*1),2)*BS39),2))</f>
        <v>0</v>
      </c>
      <c r="CS39">
        <f t="shared" si="39"/>
        <v>0</v>
      </c>
      <c r="CT39">
        <f t="shared" si="40"/>
        <v>0</v>
      </c>
      <c r="CU39">
        <f t="shared" si="41"/>
        <v>0</v>
      </c>
      <c r="CV39">
        <f t="shared" si="42"/>
        <v>0</v>
      </c>
      <c r="CW39">
        <f t="shared" si="43"/>
        <v>0</v>
      </c>
      <c r="CX39">
        <f t="shared" si="44"/>
        <v>0</v>
      </c>
      <c r="CY39">
        <f t="shared" si="45"/>
        <v>0</v>
      </c>
      <c r="CZ39">
        <f t="shared" si="46"/>
        <v>0</v>
      </c>
      <c r="DC39" t="s">
        <v>4</v>
      </c>
      <c r="DD39" t="s">
        <v>4</v>
      </c>
      <c r="DE39" t="s">
        <v>4</v>
      </c>
      <c r="DF39" t="s">
        <v>4</v>
      </c>
      <c r="DG39" t="s">
        <v>4</v>
      </c>
      <c r="DH39" t="s">
        <v>4</v>
      </c>
      <c r="DI39" t="s">
        <v>4</v>
      </c>
      <c r="DJ39" t="s">
        <v>4</v>
      </c>
      <c r="DK39" t="s">
        <v>4</v>
      </c>
      <c r="DL39" t="s">
        <v>4</v>
      </c>
      <c r="DM39" t="s">
        <v>4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64</v>
      </c>
      <c r="DW39" t="s">
        <v>64</v>
      </c>
      <c r="DX39">
        <v>1000</v>
      </c>
      <c r="EE39">
        <v>40098428</v>
      </c>
      <c r="EF39">
        <v>201</v>
      </c>
      <c r="EG39" t="s">
        <v>66</v>
      </c>
      <c r="EH39">
        <v>0</v>
      </c>
      <c r="EI39" t="s">
        <v>4</v>
      </c>
      <c r="EJ39">
        <v>2</v>
      </c>
      <c r="EK39">
        <v>1618</v>
      </c>
      <c r="EL39" t="s">
        <v>67</v>
      </c>
      <c r="EM39" t="s">
        <v>68</v>
      </c>
      <c r="EO39" t="s">
        <v>4</v>
      </c>
      <c r="EQ39">
        <v>0</v>
      </c>
      <c r="ER39">
        <v>6070.27</v>
      </c>
      <c r="ES39">
        <v>6070.27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7"/>
        <v>0</v>
      </c>
      <c r="FS39">
        <v>0</v>
      </c>
      <c r="FX39">
        <v>0</v>
      </c>
      <c r="FY39">
        <v>0</v>
      </c>
      <c r="GA39" t="s">
        <v>4</v>
      </c>
      <c r="GD39">
        <v>0</v>
      </c>
      <c r="GF39">
        <v>-1894410345</v>
      </c>
      <c r="GG39">
        <v>2</v>
      </c>
      <c r="GH39">
        <v>1</v>
      </c>
      <c r="GI39">
        <v>2</v>
      </c>
      <c r="GJ39">
        <v>0</v>
      </c>
      <c r="GK39">
        <f>ROUND(R39*(R12)/100,2)</f>
        <v>0</v>
      </c>
      <c r="GL39">
        <f t="shared" si="48"/>
        <v>0</v>
      </c>
      <c r="GM39">
        <f t="shared" si="49"/>
        <v>879.1</v>
      </c>
      <c r="GN39">
        <f t="shared" si="50"/>
        <v>0</v>
      </c>
      <c r="GO39">
        <f t="shared" si="51"/>
        <v>879.1</v>
      </c>
      <c r="GP39">
        <f t="shared" si="52"/>
        <v>0</v>
      </c>
      <c r="GR39">
        <v>0</v>
      </c>
      <c r="GS39">
        <v>3</v>
      </c>
      <c r="GT39">
        <v>0</v>
      </c>
      <c r="GU39" t="s">
        <v>4</v>
      </c>
      <c r="GV39">
        <f t="shared" si="53"/>
        <v>0</v>
      </c>
      <c r="GW39">
        <v>1</v>
      </c>
      <c r="GX39">
        <f t="shared" si="54"/>
        <v>0</v>
      </c>
      <c r="HA39">
        <v>0</v>
      </c>
      <c r="HB39">
        <v>0</v>
      </c>
      <c r="HC39">
        <f t="shared" si="55"/>
        <v>0</v>
      </c>
      <c r="IK39">
        <v>0</v>
      </c>
    </row>
    <row r="40" spans="1:245" x14ac:dyDescent="0.25">
      <c r="A40">
        <v>17</v>
      </c>
      <c r="B40">
        <v>1</v>
      </c>
      <c r="E40" t="s">
        <v>88</v>
      </c>
      <c r="F40" t="s">
        <v>89</v>
      </c>
      <c r="G40" t="s">
        <v>90</v>
      </c>
      <c r="H40" t="s">
        <v>91</v>
      </c>
      <c r="I40">
        <v>10</v>
      </c>
      <c r="J40">
        <v>0</v>
      </c>
      <c r="O40">
        <f t="shared" si="21"/>
        <v>115.44</v>
      </c>
      <c r="P40">
        <f t="shared" si="22"/>
        <v>115.44</v>
      </c>
      <c r="Q40">
        <f>(ROUND((ROUND(((ET40)*AV40*I40),2)*BB40),2)+ROUND((ROUND(((AE40-(EU40))*AV40*I40),2)*BS40),2))</f>
        <v>0</v>
      </c>
      <c r="R40">
        <f t="shared" si="23"/>
        <v>0</v>
      </c>
      <c r="S40">
        <f t="shared" si="24"/>
        <v>0</v>
      </c>
      <c r="T40">
        <f t="shared" si="25"/>
        <v>0</v>
      </c>
      <c r="U40">
        <f t="shared" si="26"/>
        <v>0</v>
      </c>
      <c r="V40">
        <f t="shared" si="27"/>
        <v>0</v>
      </c>
      <c r="W40">
        <f t="shared" si="28"/>
        <v>0</v>
      </c>
      <c r="X40">
        <f t="shared" si="29"/>
        <v>0</v>
      </c>
      <c r="Y40">
        <f t="shared" si="30"/>
        <v>0</v>
      </c>
      <c r="AA40">
        <v>40520239</v>
      </c>
      <c r="AB40">
        <f t="shared" si="31"/>
        <v>3.9</v>
      </c>
      <c r="AC40">
        <f t="shared" si="32"/>
        <v>3.9</v>
      </c>
      <c r="AD40">
        <f>ROUND((((ET40)-(EU40))+AE40),6)</f>
        <v>0</v>
      </c>
      <c r="AE40">
        <f>ROUND((EU40),6)</f>
        <v>0</v>
      </c>
      <c r="AF40">
        <f>ROUND((EV40),6)</f>
        <v>0</v>
      </c>
      <c r="AG40">
        <f t="shared" si="34"/>
        <v>0</v>
      </c>
      <c r="AH40">
        <f>(EW40)</f>
        <v>0</v>
      </c>
      <c r="AI40">
        <f>(EX40)</f>
        <v>0</v>
      </c>
      <c r="AJ40">
        <f t="shared" si="36"/>
        <v>0</v>
      </c>
      <c r="AK40">
        <v>3.9</v>
      </c>
      <c r="AL40">
        <v>3.9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2.96</v>
      </c>
      <c r="BD40" t="s">
        <v>4</v>
      </c>
      <c r="BE40" t="s">
        <v>4</v>
      </c>
      <c r="BF40" t="s">
        <v>4</v>
      </c>
      <c r="BG40" t="s">
        <v>4</v>
      </c>
      <c r="BH40">
        <v>3</v>
      </c>
      <c r="BI40">
        <v>2</v>
      </c>
      <c r="BJ40" t="s">
        <v>92</v>
      </c>
      <c r="BM40">
        <v>1618</v>
      </c>
      <c r="BN40">
        <v>0</v>
      </c>
      <c r="BO40" t="s">
        <v>89</v>
      </c>
      <c r="BP40">
        <v>1</v>
      </c>
      <c r="BQ40">
        <v>201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4</v>
      </c>
      <c r="BZ40">
        <v>0</v>
      </c>
      <c r="CA40">
        <v>0</v>
      </c>
      <c r="CE40">
        <v>30</v>
      </c>
      <c r="CF40">
        <v>0</v>
      </c>
      <c r="CG40">
        <v>0</v>
      </c>
      <c r="CM40">
        <v>0</v>
      </c>
      <c r="CN40" t="s">
        <v>4</v>
      </c>
      <c r="CO40">
        <v>0</v>
      </c>
      <c r="CP40">
        <f t="shared" si="37"/>
        <v>115.44</v>
      </c>
      <c r="CQ40">
        <f t="shared" si="38"/>
        <v>11.54</v>
      </c>
      <c r="CR40">
        <f>(ROUND((ROUND(((ET40)*AV40*1),2)*BB40),2)+ROUND((ROUND(((AE40-(EU40))*AV40*1),2)*BS40),2))</f>
        <v>0</v>
      </c>
      <c r="CS40">
        <f t="shared" si="39"/>
        <v>0</v>
      </c>
      <c r="CT40">
        <f t="shared" si="40"/>
        <v>0</v>
      </c>
      <c r="CU40">
        <f t="shared" si="41"/>
        <v>0</v>
      </c>
      <c r="CV40">
        <f t="shared" si="42"/>
        <v>0</v>
      </c>
      <c r="CW40">
        <f t="shared" si="43"/>
        <v>0</v>
      </c>
      <c r="CX40">
        <f t="shared" si="44"/>
        <v>0</v>
      </c>
      <c r="CY40">
        <f t="shared" si="45"/>
        <v>0</v>
      </c>
      <c r="CZ40">
        <f t="shared" si="46"/>
        <v>0</v>
      </c>
      <c r="DC40" t="s">
        <v>4</v>
      </c>
      <c r="DD40" t="s">
        <v>4</v>
      </c>
      <c r="DE40" t="s">
        <v>4</v>
      </c>
      <c r="DF40" t="s">
        <v>4</v>
      </c>
      <c r="DG40" t="s">
        <v>4</v>
      </c>
      <c r="DH40" t="s">
        <v>4</v>
      </c>
      <c r="DI40" t="s">
        <v>4</v>
      </c>
      <c r="DJ40" t="s">
        <v>4</v>
      </c>
      <c r="DK40" t="s">
        <v>4</v>
      </c>
      <c r="DL40" t="s">
        <v>4</v>
      </c>
      <c r="DM40" t="s">
        <v>4</v>
      </c>
      <c r="DN40">
        <v>0</v>
      </c>
      <c r="DO40">
        <v>0</v>
      </c>
      <c r="DP40">
        <v>1</v>
      </c>
      <c r="DQ40">
        <v>1</v>
      </c>
      <c r="DU40">
        <v>1010</v>
      </c>
      <c r="DV40" t="s">
        <v>91</v>
      </c>
      <c r="DW40" t="s">
        <v>91</v>
      </c>
      <c r="DX40">
        <v>1</v>
      </c>
      <c r="EE40">
        <v>40098428</v>
      </c>
      <c r="EF40">
        <v>201</v>
      </c>
      <c r="EG40" t="s">
        <v>66</v>
      </c>
      <c r="EH40">
        <v>0</v>
      </c>
      <c r="EI40" t="s">
        <v>4</v>
      </c>
      <c r="EJ40">
        <v>2</v>
      </c>
      <c r="EK40">
        <v>1618</v>
      </c>
      <c r="EL40" t="s">
        <v>67</v>
      </c>
      <c r="EM40" t="s">
        <v>68</v>
      </c>
      <c r="EO40" t="s">
        <v>4</v>
      </c>
      <c r="EQ40">
        <v>0</v>
      </c>
      <c r="ER40">
        <v>3.9</v>
      </c>
      <c r="ES40">
        <v>3.9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7"/>
        <v>0</v>
      </c>
      <c r="FS40">
        <v>0</v>
      </c>
      <c r="FX40">
        <v>0</v>
      </c>
      <c r="FY40">
        <v>0</v>
      </c>
      <c r="GA40" t="s">
        <v>4</v>
      </c>
      <c r="GD40">
        <v>0</v>
      </c>
      <c r="GF40">
        <v>-1710600479</v>
      </c>
      <c r="GG40">
        <v>2</v>
      </c>
      <c r="GH40">
        <v>1</v>
      </c>
      <c r="GI40">
        <v>2</v>
      </c>
      <c r="GJ40">
        <v>0</v>
      </c>
      <c r="GK40">
        <f>ROUND(R40*(R12)/100,2)</f>
        <v>0</v>
      </c>
      <c r="GL40">
        <f t="shared" si="48"/>
        <v>0</v>
      </c>
      <c r="GM40">
        <f t="shared" si="49"/>
        <v>115.44</v>
      </c>
      <c r="GN40">
        <f t="shared" si="50"/>
        <v>0</v>
      </c>
      <c r="GO40">
        <f t="shared" si="51"/>
        <v>115.44</v>
      </c>
      <c r="GP40">
        <f t="shared" si="52"/>
        <v>0</v>
      </c>
      <c r="GR40">
        <v>0</v>
      </c>
      <c r="GS40">
        <v>3</v>
      </c>
      <c r="GT40">
        <v>0</v>
      </c>
      <c r="GU40" t="s">
        <v>4</v>
      </c>
      <c r="GV40">
        <f t="shared" si="53"/>
        <v>0</v>
      </c>
      <c r="GW40">
        <v>1</v>
      </c>
      <c r="GX40">
        <f t="shared" si="54"/>
        <v>0</v>
      </c>
      <c r="HA40">
        <v>0</v>
      </c>
      <c r="HB40">
        <v>0</v>
      </c>
      <c r="HC40">
        <f t="shared" si="55"/>
        <v>0</v>
      </c>
      <c r="IK40">
        <v>0</v>
      </c>
    </row>
    <row r="42" spans="1:245" x14ac:dyDescent="0.25">
      <c r="A42" s="2">
        <v>51</v>
      </c>
      <c r="B42" s="2">
        <f>B24</f>
        <v>1</v>
      </c>
      <c r="C42" s="2">
        <f>A24</f>
        <v>4</v>
      </c>
      <c r="D42" s="2">
        <f>ROW(A24)</f>
        <v>24</v>
      </c>
      <c r="E42" s="2"/>
      <c r="F42" s="2" t="str">
        <f>IF(F24&lt;&gt;"",F24,"")</f>
        <v>1</v>
      </c>
      <c r="G42" s="2" t="str">
        <f>IF(G24&lt;&gt;"",G24,"")</f>
        <v>Монтажные работы и материалы</v>
      </c>
      <c r="H42" s="2">
        <v>0</v>
      </c>
      <c r="I42" s="2"/>
      <c r="J42" s="2"/>
      <c r="K42" s="2"/>
      <c r="L42" s="2"/>
      <c r="M42" s="2"/>
      <c r="N42" s="2"/>
      <c r="O42" s="2">
        <f t="shared" ref="O42:T42" si="58">ROUND(AB42,2)</f>
        <v>122926.56</v>
      </c>
      <c r="P42" s="2">
        <f t="shared" si="58"/>
        <v>43007.519999999997</v>
      </c>
      <c r="Q42" s="2">
        <f t="shared" si="58"/>
        <v>1500.12</v>
      </c>
      <c r="R42" s="2">
        <f t="shared" si="58"/>
        <v>498.58</v>
      </c>
      <c r="S42" s="2">
        <f t="shared" si="58"/>
        <v>78418.92</v>
      </c>
      <c r="T42" s="2">
        <f t="shared" si="58"/>
        <v>0</v>
      </c>
      <c r="U42" s="2">
        <f>AH42</f>
        <v>236.14442423999992</v>
      </c>
      <c r="V42" s="2">
        <f>AI42</f>
        <v>0</v>
      </c>
      <c r="W42" s="2">
        <f>ROUND(AJ42,2)</f>
        <v>0</v>
      </c>
      <c r="X42" s="2">
        <f>ROUND(AK42,2)</f>
        <v>70577.039999999994</v>
      </c>
      <c r="Y42" s="2">
        <f>ROUND(AL42,2)</f>
        <v>33624.83</v>
      </c>
      <c r="Z42" s="2"/>
      <c r="AA42" s="2"/>
      <c r="AB42" s="2">
        <f>ROUND(SUMIF(AA28:AA40,"=40520239",O28:O40),2)</f>
        <v>122926.56</v>
      </c>
      <c r="AC42" s="2">
        <f>ROUND(SUMIF(AA28:AA40,"=40520239",P28:P40),2)</f>
        <v>43007.519999999997</v>
      </c>
      <c r="AD42" s="2">
        <f>ROUND(SUMIF(AA28:AA40,"=40520239",Q28:Q40),2)</f>
        <v>1500.12</v>
      </c>
      <c r="AE42" s="2">
        <f>ROUND(SUMIF(AA28:AA40,"=40520239",R28:R40),2)</f>
        <v>498.58</v>
      </c>
      <c r="AF42" s="2">
        <f>ROUND(SUMIF(AA28:AA40,"=40520239",S28:S40),2)</f>
        <v>78418.92</v>
      </c>
      <c r="AG42" s="2">
        <f>ROUND(SUMIF(AA28:AA40,"=40520239",T28:T40),2)</f>
        <v>0</v>
      </c>
      <c r="AH42" s="2">
        <f>SUMIF(AA28:AA40,"=40520239",U28:U40)</f>
        <v>236.14442423999992</v>
      </c>
      <c r="AI42" s="2">
        <f>SUMIF(AA28:AA40,"=40520239",V28:V40)</f>
        <v>0</v>
      </c>
      <c r="AJ42" s="2">
        <f>ROUND(SUMIF(AA28:AA40,"=40520239",W28:W40),2)</f>
        <v>0</v>
      </c>
      <c r="AK42" s="2">
        <f>ROUND(SUMIF(AA28:AA40,"=40520239",X28:X40),2)</f>
        <v>70577.039999999994</v>
      </c>
      <c r="AL42" s="2">
        <f>ROUND(SUMIF(AA28:AA40,"=40520239",Y28:Y40),2)</f>
        <v>33624.83</v>
      </c>
      <c r="AM42" s="2"/>
      <c r="AN42" s="2"/>
      <c r="AO42" s="2">
        <f t="shared" ref="AO42:BD42" si="59">ROUND(BX42,2)</f>
        <v>0</v>
      </c>
      <c r="AP42" s="2">
        <f t="shared" si="59"/>
        <v>0</v>
      </c>
      <c r="AQ42" s="2">
        <f t="shared" si="59"/>
        <v>0</v>
      </c>
      <c r="AR42" s="2">
        <f t="shared" si="59"/>
        <v>227911.19</v>
      </c>
      <c r="AS42" s="2">
        <f t="shared" si="59"/>
        <v>0</v>
      </c>
      <c r="AT42" s="2">
        <f t="shared" si="59"/>
        <v>227911.19</v>
      </c>
      <c r="AU42" s="2">
        <f t="shared" si="59"/>
        <v>0</v>
      </c>
      <c r="AV42" s="2">
        <f t="shared" si="59"/>
        <v>43007.519999999997</v>
      </c>
      <c r="AW42" s="2">
        <f t="shared" si="59"/>
        <v>43007.519999999997</v>
      </c>
      <c r="AX42" s="2">
        <f t="shared" si="59"/>
        <v>0</v>
      </c>
      <c r="AY42" s="2">
        <f t="shared" si="59"/>
        <v>43007.519999999997</v>
      </c>
      <c r="AZ42" s="2">
        <f t="shared" si="59"/>
        <v>0</v>
      </c>
      <c r="BA42" s="2">
        <f t="shared" si="59"/>
        <v>0</v>
      </c>
      <c r="BB42" s="2">
        <f t="shared" si="59"/>
        <v>0</v>
      </c>
      <c r="BC42" s="2">
        <f t="shared" si="59"/>
        <v>0</v>
      </c>
      <c r="BD42" s="2">
        <f t="shared" si="59"/>
        <v>0</v>
      </c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>
        <f>ROUND(SUMIF(AA28:AA40,"=40520239",FQ28:FQ40),2)</f>
        <v>0</v>
      </c>
      <c r="BY42" s="2">
        <f>ROUND(SUMIF(AA28:AA40,"=40520239",FR28:FR40),2)</f>
        <v>0</v>
      </c>
      <c r="BZ42" s="2">
        <f>ROUND(SUMIF(AA28:AA40,"=40520239",GL28:GL40),2)</f>
        <v>0</v>
      </c>
      <c r="CA42" s="2">
        <f>ROUND(SUMIF(AA28:AA40,"=40520239",GM28:GM40),2)</f>
        <v>227911.19</v>
      </c>
      <c r="CB42" s="2">
        <f>ROUND(SUMIF(AA28:AA40,"=40520239",GN28:GN40),2)</f>
        <v>0</v>
      </c>
      <c r="CC42" s="2">
        <f>ROUND(SUMIF(AA28:AA40,"=40520239",GO28:GO40),2)</f>
        <v>227911.19</v>
      </c>
      <c r="CD42" s="2">
        <f>ROUND(SUMIF(AA28:AA40,"=40520239",GP28:GP40),2)</f>
        <v>0</v>
      </c>
      <c r="CE42" s="2">
        <f>AC42-BX42</f>
        <v>43007.519999999997</v>
      </c>
      <c r="CF42" s="2">
        <f>AC42-BY42</f>
        <v>43007.519999999997</v>
      </c>
      <c r="CG42" s="2">
        <f>BX42-BZ42</f>
        <v>0</v>
      </c>
      <c r="CH42" s="2">
        <f>AC42-BX42-BY42+BZ42</f>
        <v>43007.519999999997</v>
      </c>
      <c r="CI42" s="2">
        <f>BY42-BZ42</f>
        <v>0</v>
      </c>
      <c r="CJ42" s="2">
        <f>ROUND(SUMIF(AA28:AA40,"=40520239",GX28:GX40),2)</f>
        <v>0</v>
      </c>
      <c r="CK42" s="2">
        <f>ROUND(SUMIF(AA28:AA40,"=40520239",GY28:GY40),2)</f>
        <v>0</v>
      </c>
      <c r="CL42" s="2">
        <f>ROUND(SUMIF(AA28:AA40,"=40520239",GZ28:GZ40),2)</f>
        <v>0</v>
      </c>
      <c r="CM42" s="2">
        <f>ROUND(SUMIF(AA28:AA40,"=40520239",HD28:HD40),2)</f>
        <v>0</v>
      </c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>
        <v>0</v>
      </c>
    </row>
    <row r="44" spans="1:245" x14ac:dyDescent="0.25">
      <c r="A44" s="4">
        <v>50</v>
      </c>
      <c r="B44" s="4">
        <v>0</v>
      </c>
      <c r="C44" s="4">
        <v>0</v>
      </c>
      <c r="D44" s="4">
        <v>1</v>
      </c>
      <c r="E44" s="4">
        <v>201</v>
      </c>
      <c r="F44" s="4">
        <f>ROUND(Source!O42,O44)</f>
        <v>122926.56</v>
      </c>
      <c r="G44" s="4" t="s">
        <v>93</v>
      </c>
      <c r="H44" s="4" t="s">
        <v>94</v>
      </c>
      <c r="I44" s="4"/>
      <c r="J44" s="4"/>
      <c r="K44" s="4">
        <v>201</v>
      </c>
      <c r="L44" s="4">
        <v>1</v>
      </c>
      <c r="M44" s="4">
        <v>3</v>
      </c>
      <c r="N44" s="4" t="s">
        <v>4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 x14ac:dyDescent="0.25">
      <c r="A45" s="4">
        <v>50</v>
      </c>
      <c r="B45" s="4">
        <v>0</v>
      </c>
      <c r="C45" s="4">
        <v>0</v>
      </c>
      <c r="D45" s="4">
        <v>1</v>
      </c>
      <c r="E45" s="4">
        <v>202</v>
      </c>
      <c r="F45" s="4">
        <f>ROUND(Source!P42,O45)</f>
        <v>43007.519999999997</v>
      </c>
      <c r="G45" s="4" t="s">
        <v>95</v>
      </c>
      <c r="H45" s="4" t="s">
        <v>96</v>
      </c>
      <c r="I45" s="4"/>
      <c r="J45" s="4"/>
      <c r="K45" s="4">
        <v>202</v>
      </c>
      <c r="L45" s="4">
        <v>2</v>
      </c>
      <c r="M45" s="4">
        <v>3</v>
      </c>
      <c r="N45" s="4" t="s">
        <v>4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 x14ac:dyDescent="0.25">
      <c r="A46" s="4">
        <v>50</v>
      </c>
      <c r="B46" s="4">
        <v>0</v>
      </c>
      <c r="C46" s="4">
        <v>0</v>
      </c>
      <c r="D46" s="4">
        <v>1</v>
      </c>
      <c r="E46" s="4">
        <v>222</v>
      </c>
      <c r="F46" s="4">
        <f>ROUND(Source!AO42,O46)</f>
        <v>0</v>
      </c>
      <c r="G46" s="4" t="s">
        <v>97</v>
      </c>
      <c r="H46" s="4" t="s">
        <v>98</v>
      </c>
      <c r="I46" s="4"/>
      <c r="J46" s="4"/>
      <c r="K46" s="4">
        <v>222</v>
      </c>
      <c r="L46" s="4">
        <v>3</v>
      </c>
      <c r="M46" s="4">
        <v>3</v>
      </c>
      <c r="N46" s="4" t="s">
        <v>4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 x14ac:dyDescent="0.25">
      <c r="A47" s="4">
        <v>50</v>
      </c>
      <c r="B47" s="4">
        <v>0</v>
      </c>
      <c r="C47" s="4">
        <v>0</v>
      </c>
      <c r="D47" s="4">
        <v>1</v>
      </c>
      <c r="E47" s="4">
        <v>225</v>
      </c>
      <c r="F47" s="4">
        <f>ROUND(Source!AV42,O47)</f>
        <v>43007.519999999997</v>
      </c>
      <c r="G47" s="4" t="s">
        <v>99</v>
      </c>
      <c r="H47" s="4" t="s">
        <v>100</v>
      </c>
      <c r="I47" s="4"/>
      <c r="J47" s="4"/>
      <c r="K47" s="4">
        <v>225</v>
      </c>
      <c r="L47" s="4">
        <v>4</v>
      </c>
      <c r="M47" s="4">
        <v>3</v>
      </c>
      <c r="N47" s="4" t="s">
        <v>4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 x14ac:dyDescent="0.25">
      <c r="A48" s="4">
        <v>50</v>
      </c>
      <c r="B48" s="4">
        <v>0</v>
      </c>
      <c r="C48" s="4">
        <v>0</v>
      </c>
      <c r="D48" s="4">
        <v>1</v>
      </c>
      <c r="E48" s="4">
        <v>226</v>
      </c>
      <c r="F48" s="4">
        <f>ROUND(Source!AW42,O48)</f>
        <v>43007.519999999997</v>
      </c>
      <c r="G48" s="4" t="s">
        <v>101</v>
      </c>
      <c r="H48" s="4" t="s">
        <v>102</v>
      </c>
      <c r="I48" s="4"/>
      <c r="J48" s="4"/>
      <c r="K48" s="4">
        <v>226</v>
      </c>
      <c r="L48" s="4">
        <v>5</v>
      </c>
      <c r="M48" s="4">
        <v>3</v>
      </c>
      <c r="N48" s="4" t="s">
        <v>4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 x14ac:dyDescent="0.25">
      <c r="A49" s="4">
        <v>50</v>
      </c>
      <c r="B49" s="4">
        <v>0</v>
      </c>
      <c r="C49" s="4">
        <v>0</v>
      </c>
      <c r="D49" s="4">
        <v>1</v>
      </c>
      <c r="E49" s="4">
        <v>227</v>
      </c>
      <c r="F49" s="4">
        <f>ROUND(Source!AX42,O49)</f>
        <v>0</v>
      </c>
      <c r="G49" s="4" t="s">
        <v>103</v>
      </c>
      <c r="H49" s="4" t="s">
        <v>104</v>
      </c>
      <c r="I49" s="4"/>
      <c r="J49" s="4"/>
      <c r="K49" s="4">
        <v>227</v>
      </c>
      <c r="L49" s="4">
        <v>6</v>
      </c>
      <c r="M49" s="4">
        <v>3</v>
      </c>
      <c r="N49" s="4" t="s">
        <v>4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 x14ac:dyDescent="0.25">
      <c r="A50" s="4">
        <v>50</v>
      </c>
      <c r="B50" s="4">
        <v>0</v>
      </c>
      <c r="C50" s="4">
        <v>0</v>
      </c>
      <c r="D50" s="4">
        <v>1</v>
      </c>
      <c r="E50" s="4">
        <v>228</v>
      </c>
      <c r="F50" s="4">
        <f>ROUND(Source!AY42,O50)</f>
        <v>43007.519999999997</v>
      </c>
      <c r="G50" s="4" t="s">
        <v>105</v>
      </c>
      <c r="H50" s="4" t="s">
        <v>106</v>
      </c>
      <c r="I50" s="4"/>
      <c r="J50" s="4"/>
      <c r="K50" s="4">
        <v>228</v>
      </c>
      <c r="L50" s="4">
        <v>7</v>
      </c>
      <c r="M50" s="4">
        <v>3</v>
      </c>
      <c r="N50" s="4" t="s">
        <v>4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 x14ac:dyDescent="0.25">
      <c r="A51" s="4">
        <v>50</v>
      </c>
      <c r="B51" s="4">
        <v>0</v>
      </c>
      <c r="C51" s="4">
        <v>0</v>
      </c>
      <c r="D51" s="4">
        <v>1</v>
      </c>
      <c r="E51" s="4">
        <v>216</v>
      </c>
      <c r="F51" s="4">
        <f>ROUND(Source!AP42,O51)</f>
        <v>0</v>
      </c>
      <c r="G51" s="4" t="s">
        <v>107</v>
      </c>
      <c r="H51" s="4" t="s">
        <v>108</v>
      </c>
      <c r="I51" s="4"/>
      <c r="J51" s="4"/>
      <c r="K51" s="4">
        <v>216</v>
      </c>
      <c r="L51" s="4">
        <v>8</v>
      </c>
      <c r="M51" s="4">
        <v>3</v>
      </c>
      <c r="N51" s="4" t="s">
        <v>4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 x14ac:dyDescent="0.25">
      <c r="A52" s="4">
        <v>50</v>
      </c>
      <c r="B52" s="4">
        <v>0</v>
      </c>
      <c r="C52" s="4">
        <v>0</v>
      </c>
      <c r="D52" s="4">
        <v>1</v>
      </c>
      <c r="E52" s="4">
        <v>223</v>
      </c>
      <c r="F52" s="4">
        <f>ROUND(Source!AQ42,O52)</f>
        <v>0</v>
      </c>
      <c r="G52" s="4" t="s">
        <v>109</v>
      </c>
      <c r="H52" s="4" t="s">
        <v>110</v>
      </c>
      <c r="I52" s="4"/>
      <c r="J52" s="4"/>
      <c r="K52" s="4">
        <v>223</v>
      </c>
      <c r="L52" s="4">
        <v>9</v>
      </c>
      <c r="M52" s="4">
        <v>3</v>
      </c>
      <c r="N52" s="4" t="s">
        <v>4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 x14ac:dyDescent="0.25">
      <c r="A53" s="4">
        <v>50</v>
      </c>
      <c r="B53" s="4">
        <v>0</v>
      </c>
      <c r="C53" s="4">
        <v>0</v>
      </c>
      <c r="D53" s="4">
        <v>1</v>
      </c>
      <c r="E53" s="4">
        <v>229</v>
      </c>
      <c r="F53" s="4">
        <f>ROUND(Source!AZ42,O53)</f>
        <v>0</v>
      </c>
      <c r="G53" s="4" t="s">
        <v>111</v>
      </c>
      <c r="H53" s="4" t="s">
        <v>112</v>
      </c>
      <c r="I53" s="4"/>
      <c r="J53" s="4"/>
      <c r="K53" s="4">
        <v>229</v>
      </c>
      <c r="L53" s="4">
        <v>10</v>
      </c>
      <c r="M53" s="4">
        <v>3</v>
      </c>
      <c r="N53" s="4" t="s">
        <v>4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4">
        <v>50</v>
      </c>
      <c r="B54" s="4">
        <v>0</v>
      </c>
      <c r="C54" s="4">
        <v>0</v>
      </c>
      <c r="D54" s="4">
        <v>1</v>
      </c>
      <c r="E54" s="4">
        <v>203</v>
      </c>
      <c r="F54" s="4">
        <f>ROUND(Source!Q42,O54)</f>
        <v>1500.12</v>
      </c>
      <c r="G54" s="4" t="s">
        <v>113</v>
      </c>
      <c r="H54" s="4" t="s">
        <v>114</v>
      </c>
      <c r="I54" s="4"/>
      <c r="J54" s="4"/>
      <c r="K54" s="4">
        <v>203</v>
      </c>
      <c r="L54" s="4">
        <v>11</v>
      </c>
      <c r="M54" s="4">
        <v>3</v>
      </c>
      <c r="N54" s="4" t="s">
        <v>4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4">
        <v>50</v>
      </c>
      <c r="B55" s="4">
        <v>0</v>
      </c>
      <c r="C55" s="4">
        <v>0</v>
      </c>
      <c r="D55" s="4">
        <v>1</v>
      </c>
      <c r="E55" s="4">
        <v>231</v>
      </c>
      <c r="F55" s="4">
        <f>ROUND(Source!BB42,O55)</f>
        <v>0</v>
      </c>
      <c r="G55" s="4" t="s">
        <v>115</v>
      </c>
      <c r="H55" s="4" t="s">
        <v>116</v>
      </c>
      <c r="I55" s="4"/>
      <c r="J55" s="4"/>
      <c r="K55" s="4">
        <v>231</v>
      </c>
      <c r="L55" s="4">
        <v>12</v>
      </c>
      <c r="M55" s="4">
        <v>3</v>
      </c>
      <c r="N55" s="4" t="s">
        <v>4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4">
        <v>50</v>
      </c>
      <c r="B56" s="4">
        <v>0</v>
      </c>
      <c r="C56" s="4">
        <v>0</v>
      </c>
      <c r="D56" s="4">
        <v>1</v>
      </c>
      <c r="E56" s="4">
        <v>204</v>
      </c>
      <c r="F56" s="4">
        <f>ROUND(Source!R42,O56)</f>
        <v>498.58</v>
      </c>
      <c r="G56" s="4" t="s">
        <v>117</v>
      </c>
      <c r="H56" s="4" t="s">
        <v>118</v>
      </c>
      <c r="I56" s="4"/>
      <c r="J56" s="4"/>
      <c r="K56" s="4">
        <v>204</v>
      </c>
      <c r="L56" s="4">
        <v>13</v>
      </c>
      <c r="M56" s="4">
        <v>3</v>
      </c>
      <c r="N56" s="4" t="s">
        <v>4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s="4">
        <v>50</v>
      </c>
      <c r="B57" s="4">
        <v>0</v>
      </c>
      <c r="C57" s="4">
        <v>0</v>
      </c>
      <c r="D57" s="4">
        <v>1</v>
      </c>
      <c r="E57" s="4">
        <v>205</v>
      </c>
      <c r="F57" s="4">
        <f>ROUND(Source!S42,O57)</f>
        <v>78418.92</v>
      </c>
      <c r="G57" s="4" t="s">
        <v>119</v>
      </c>
      <c r="H57" s="4" t="s">
        <v>120</v>
      </c>
      <c r="I57" s="4"/>
      <c r="J57" s="4"/>
      <c r="K57" s="4">
        <v>205</v>
      </c>
      <c r="L57" s="4">
        <v>14</v>
      </c>
      <c r="M57" s="4">
        <v>3</v>
      </c>
      <c r="N57" s="4" t="s">
        <v>4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 x14ac:dyDescent="0.25">
      <c r="A58" s="4">
        <v>50</v>
      </c>
      <c r="B58" s="4">
        <v>0</v>
      </c>
      <c r="C58" s="4">
        <v>0</v>
      </c>
      <c r="D58" s="4">
        <v>1</v>
      </c>
      <c r="E58" s="4">
        <v>232</v>
      </c>
      <c r="F58" s="4">
        <f>ROUND(Source!BC42,O58)</f>
        <v>0</v>
      </c>
      <c r="G58" s="4" t="s">
        <v>121</v>
      </c>
      <c r="H58" s="4" t="s">
        <v>122</v>
      </c>
      <c r="I58" s="4"/>
      <c r="J58" s="4"/>
      <c r="K58" s="4">
        <v>232</v>
      </c>
      <c r="L58" s="4">
        <v>15</v>
      </c>
      <c r="M58" s="4">
        <v>3</v>
      </c>
      <c r="N58" s="4" t="s">
        <v>4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 x14ac:dyDescent="0.25">
      <c r="A59" s="4">
        <v>50</v>
      </c>
      <c r="B59" s="4">
        <v>0</v>
      </c>
      <c r="C59" s="4">
        <v>0</v>
      </c>
      <c r="D59" s="4">
        <v>1</v>
      </c>
      <c r="E59" s="4">
        <v>214</v>
      </c>
      <c r="F59" s="4">
        <f>ROUND(Source!AS42,O59)</f>
        <v>0</v>
      </c>
      <c r="G59" s="4" t="s">
        <v>123</v>
      </c>
      <c r="H59" s="4" t="s">
        <v>124</v>
      </c>
      <c r="I59" s="4"/>
      <c r="J59" s="4"/>
      <c r="K59" s="4">
        <v>214</v>
      </c>
      <c r="L59" s="4">
        <v>16</v>
      </c>
      <c r="M59" s="4">
        <v>3</v>
      </c>
      <c r="N59" s="4" t="s">
        <v>4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4">
        <v>50</v>
      </c>
      <c r="B60" s="4">
        <v>0</v>
      </c>
      <c r="C60" s="4">
        <v>0</v>
      </c>
      <c r="D60" s="4">
        <v>1</v>
      </c>
      <c r="E60" s="4">
        <v>215</v>
      </c>
      <c r="F60" s="4">
        <f>ROUND(Source!AT42,O60)</f>
        <v>227911.19</v>
      </c>
      <c r="G60" s="4" t="s">
        <v>125</v>
      </c>
      <c r="H60" s="4" t="s">
        <v>126</v>
      </c>
      <c r="I60" s="4"/>
      <c r="J60" s="4"/>
      <c r="K60" s="4">
        <v>215</v>
      </c>
      <c r="L60" s="4">
        <v>17</v>
      </c>
      <c r="M60" s="4">
        <v>3</v>
      </c>
      <c r="N60" s="4" t="s">
        <v>4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4">
        <v>50</v>
      </c>
      <c r="B61" s="4">
        <v>0</v>
      </c>
      <c r="C61" s="4">
        <v>0</v>
      </c>
      <c r="D61" s="4">
        <v>1</v>
      </c>
      <c r="E61" s="4">
        <v>217</v>
      </c>
      <c r="F61" s="4">
        <f>ROUND(Source!AU42,O61)</f>
        <v>0</v>
      </c>
      <c r="G61" s="4" t="s">
        <v>127</v>
      </c>
      <c r="H61" s="4" t="s">
        <v>128</v>
      </c>
      <c r="I61" s="4"/>
      <c r="J61" s="4"/>
      <c r="K61" s="4">
        <v>217</v>
      </c>
      <c r="L61" s="4">
        <v>18</v>
      </c>
      <c r="M61" s="4">
        <v>3</v>
      </c>
      <c r="N61" s="4" t="s">
        <v>4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 x14ac:dyDescent="0.25">
      <c r="A62" s="4">
        <v>50</v>
      </c>
      <c r="B62" s="4">
        <v>0</v>
      </c>
      <c r="C62" s="4">
        <v>0</v>
      </c>
      <c r="D62" s="4">
        <v>1</v>
      </c>
      <c r="E62" s="4">
        <v>230</v>
      </c>
      <c r="F62" s="4">
        <f>ROUND(Source!BA42,O62)</f>
        <v>0</v>
      </c>
      <c r="G62" s="4" t="s">
        <v>129</v>
      </c>
      <c r="H62" s="4" t="s">
        <v>130</v>
      </c>
      <c r="I62" s="4"/>
      <c r="J62" s="4"/>
      <c r="K62" s="4">
        <v>230</v>
      </c>
      <c r="L62" s="4">
        <v>19</v>
      </c>
      <c r="M62" s="4">
        <v>3</v>
      </c>
      <c r="N62" s="4" t="s">
        <v>4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 x14ac:dyDescent="0.25">
      <c r="A63" s="4">
        <v>50</v>
      </c>
      <c r="B63" s="4">
        <v>0</v>
      </c>
      <c r="C63" s="4">
        <v>0</v>
      </c>
      <c r="D63" s="4">
        <v>1</v>
      </c>
      <c r="E63" s="4">
        <v>206</v>
      </c>
      <c r="F63" s="4">
        <f>ROUND(Source!T42,O63)</f>
        <v>0</v>
      </c>
      <c r="G63" s="4" t="s">
        <v>131</v>
      </c>
      <c r="H63" s="4" t="s">
        <v>132</v>
      </c>
      <c r="I63" s="4"/>
      <c r="J63" s="4"/>
      <c r="K63" s="4">
        <v>206</v>
      </c>
      <c r="L63" s="4">
        <v>20</v>
      </c>
      <c r="M63" s="4">
        <v>3</v>
      </c>
      <c r="N63" s="4" t="s">
        <v>4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4">
        <v>50</v>
      </c>
      <c r="B64" s="4">
        <v>0</v>
      </c>
      <c r="C64" s="4">
        <v>0</v>
      </c>
      <c r="D64" s="4">
        <v>1</v>
      </c>
      <c r="E64" s="4">
        <v>207</v>
      </c>
      <c r="F64" s="4">
        <f>Source!U42</f>
        <v>236.14442423999992</v>
      </c>
      <c r="G64" s="4" t="s">
        <v>133</v>
      </c>
      <c r="H64" s="4" t="s">
        <v>134</v>
      </c>
      <c r="I64" s="4"/>
      <c r="J64" s="4"/>
      <c r="K64" s="4">
        <v>207</v>
      </c>
      <c r="L64" s="4">
        <v>21</v>
      </c>
      <c r="M64" s="4">
        <v>3</v>
      </c>
      <c r="N64" s="4" t="s">
        <v>4</v>
      </c>
      <c r="O64" s="4">
        <v>-1</v>
      </c>
      <c r="P64" s="4"/>
      <c r="Q64" s="4"/>
      <c r="R64" s="4"/>
      <c r="S64" s="4"/>
      <c r="T64" s="4"/>
      <c r="U64" s="4"/>
      <c r="V64" s="4"/>
      <c r="W64" s="4"/>
    </row>
    <row r="65" spans="1:245" x14ac:dyDescent="0.25">
      <c r="A65" s="4">
        <v>50</v>
      </c>
      <c r="B65" s="4">
        <v>0</v>
      </c>
      <c r="C65" s="4">
        <v>0</v>
      </c>
      <c r="D65" s="4">
        <v>1</v>
      </c>
      <c r="E65" s="4">
        <v>208</v>
      </c>
      <c r="F65" s="4">
        <f>Source!V42</f>
        <v>0</v>
      </c>
      <c r="G65" s="4" t="s">
        <v>135</v>
      </c>
      <c r="H65" s="4" t="s">
        <v>136</v>
      </c>
      <c r="I65" s="4"/>
      <c r="J65" s="4"/>
      <c r="K65" s="4">
        <v>208</v>
      </c>
      <c r="L65" s="4">
        <v>22</v>
      </c>
      <c r="M65" s="4">
        <v>3</v>
      </c>
      <c r="N65" s="4" t="s">
        <v>4</v>
      </c>
      <c r="O65" s="4">
        <v>-1</v>
      </c>
      <c r="P65" s="4"/>
      <c r="Q65" s="4"/>
      <c r="R65" s="4"/>
      <c r="S65" s="4"/>
      <c r="T65" s="4"/>
      <c r="U65" s="4"/>
      <c r="V65" s="4"/>
      <c r="W65" s="4"/>
    </row>
    <row r="66" spans="1:245" x14ac:dyDescent="0.25">
      <c r="A66" s="4">
        <v>50</v>
      </c>
      <c r="B66" s="4">
        <v>0</v>
      </c>
      <c r="C66" s="4">
        <v>0</v>
      </c>
      <c r="D66" s="4">
        <v>1</v>
      </c>
      <c r="E66" s="4">
        <v>209</v>
      </c>
      <c r="F66" s="4">
        <f>ROUND(Source!W42,O66)</f>
        <v>0</v>
      </c>
      <c r="G66" s="4" t="s">
        <v>137</v>
      </c>
      <c r="H66" s="4" t="s">
        <v>138</v>
      </c>
      <c r="I66" s="4"/>
      <c r="J66" s="4"/>
      <c r="K66" s="4">
        <v>209</v>
      </c>
      <c r="L66" s="4">
        <v>23</v>
      </c>
      <c r="M66" s="4">
        <v>3</v>
      </c>
      <c r="N66" s="4" t="s">
        <v>4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45" x14ac:dyDescent="0.25">
      <c r="A67" s="4">
        <v>50</v>
      </c>
      <c r="B67" s="4">
        <v>0</v>
      </c>
      <c r="C67" s="4">
        <v>0</v>
      </c>
      <c r="D67" s="4">
        <v>1</v>
      </c>
      <c r="E67" s="4">
        <v>233</v>
      </c>
      <c r="F67" s="4">
        <f>ROUND(Source!BD42,O67)</f>
        <v>0</v>
      </c>
      <c r="G67" s="4" t="s">
        <v>139</v>
      </c>
      <c r="H67" s="4" t="s">
        <v>140</v>
      </c>
      <c r="I67" s="4"/>
      <c r="J67" s="4"/>
      <c r="K67" s="4">
        <v>233</v>
      </c>
      <c r="L67" s="4">
        <v>24</v>
      </c>
      <c r="M67" s="4">
        <v>3</v>
      </c>
      <c r="N67" s="4" t="s">
        <v>4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45" x14ac:dyDescent="0.25">
      <c r="A68" s="4">
        <v>50</v>
      </c>
      <c r="B68" s="4">
        <v>0</v>
      </c>
      <c r="C68" s="4">
        <v>0</v>
      </c>
      <c r="D68" s="4">
        <v>1</v>
      </c>
      <c r="E68" s="4">
        <v>210</v>
      </c>
      <c r="F68" s="4">
        <f>ROUND(Source!X42,O68)</f>
        <v>70577.039999999994</v>
      </c>
      <c r="G68" s="4" t="s">
        <v>141</v>
      </c>
      <c r="H68" s="4" t="s">
        <v>142</v>
      </c>
      <c r="I68" s="4"/>
      <c r="J68" s="4"/>
      <c r="K68" s="4">
        <v>210</v>
      </c>
      <c r="L68" s="4">
        <v>25</v>
      </c>
      <c r="M68" s="4">
        <v>3</v>
      </c>
      <c r="N68" s="4" t="s">
        <v>4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45" x14ac:dyDescent="0.25">
      <c r="A69" s="4">
        <v>50</v>
      </c>
      <c r="B69" s="4">
        <v>0</v>
      </c>
      <c r="C69" s="4">
        <v>0</v>
      </c>
      <c r="D69" s="4">
        <v>1</v>
      </c>
      <c r="E69" s="4">
        <v>211</v>
      </c>
      <c r="F69" s="4">
        <f>ROUND(Source!Y42,O69)</f>
        <v>33624.83</v>
      </c>
      <c r="G69" s="4" t="s">
        <v>143</v>
      </c>
      <c r="H69" s="4" t="s">
        <v>144</v>
      </c>
      <c r="I69" s="4"/>
      <c r="J69" s="4"/>
      <c r="K69" s="4">
        <v>211</v>
      </c>
      <c r="L69" s="4">
        <v>26</v>
      </c>
      <c r="M69" s="4">
        <v>3</v>
      </c>
      <c r="N69" s="4" t="s">
        <v>4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45" x14ac:dyDescent="0.25">
      <c r="A70" s="4">
        <v>50</v>
      </c>
      <c r="B70" s="4">
        <v>0</v>
      </c>
      <c r="C70" s="4">
        <v>0</v>
      </c>
      <c r="D70" s="4">
        <v>1</v>
      </c>
      <c r="E70" s="4">
        <v>224</v>
      </c>
      <c r="F70" s="4">
        <f>ROUND(Source!AR42,O70)</f>
        <v>227911.19</v>
      </c>
      <c r="G70" s="4" t="s">
        <v>145</v>
      </c>
      <c r="H70" s="4" t="s">
        <v>146</v>
      </c>
      <c r="I70" s="4"/>
      <c r="J70" s="4"/>
      <c r="K70" s="4">
        <v>224</v>
      </c>
      <c r="L70" s="4">
        <v>27</v>
      </c>
      <c r="M70" s="4">
        <v>3</v>
      </c>
      <c r="N70" s="4" t="s">
        <v>4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2" spans="1:245" x14ac:dyDescent="0.25">
      <c r="A72" s="1">
        <v>4</v>
      </c>
      <c r="B72" s="1">
        <v>1</v>
      </c>
      <c r="C72" s="1"/>
      <c r="D72" s="1">
        <f>ROW(A94)</f>
        <v>94</v>
      </c>
      <c r="E72" s="1"/>
      <c r="F72" s="1" t="s">
        <v>27</v>
      </c>
      <c r="G72" s="1" t="s">
        <v>147</v>
      </c>
      <c r="H72" s="1" t="s">
        <v>4</v>
      </c>
      <c r="I72" s="1">
        <v>0</v>
      </c>
      <c r="J72" s="1"/>
      <c r="K72" s="1">
        <v>-1</v>
      </c>
      <c r="L72" s="1"/>
      <c r="M72" s="1"/>
      <c r="N72" s="1"/>
      <c r="O72" s="1"/>
      <c r="P72" s="1"/>
      <c r="Q72" s="1"/>
      <c r="R72" s="1"/>
      <c r="S72" s="1"/>
      <c r="T72" s="1"/>
      <c r="U72" s="1" t="s">
        <v>4</v>
      </c>
      <c r="V72" s="1">
        <v>0</v>
      </c>
      <c r="W72" s="1"/>
      <c r="X72" s="1"/>
      <c r="Y72" s="1"/>
      <c r="Z72" s="1"/>
      <c r="AA72" s="1"/>
      <c r="AB72" s="1" t="s">
        <v>4</v>
      </c>
      <c r="AC72" s="1" t="s">
        <v>4</v>
      </c>
      <c r="AD72" s="1" t="s">
        <v>4</v>
      </c>
      <c r="AE72" s="1" t="s">
        <v>4</v>
      </c>
      <c r="AF72" s="1" t="s">
        <v>4</v>
      </c>
      <c r="AG72" s="1" t="s">
        <v>4</v>
      </c>
      <c r="AH72" s="1"/>
      <c r="AI72" s="1"/>
      <c r="AJ72" s="1"/>
      <c r="AK72" s="1"/>
      <c r="AL72" s="1"/>
      <c r="AM72" s="1"/>
      <c r="AN72" s="1"/>
      <c r="AO72" s="1"/>
      <c r="AP72" s="1" t="s">
        <v>4</v>
      </c>
      <c r="AQ72" s="1" t="s">
        <v>4</v>
      </c>
      <c r="AR72" s="1" t="s">
        <v>4</v>
      </c>
      <c r="AS72" s="1"/>
      <c r="AT72" s="1"/>
      <c r="AU72" s="1"/>
      <c r="AV72" s="1"/>
      <c r="AW72" s="1"/>
      <c r="AX72" s="1"/>
      <c r="AY72" s="1"/>
      <c r="AZ72" s="1" t="s">
        <v>4</v>
      </c>
      <c r="BA72" s="1"/>
      <c r="BB72" s="1" t="s">
        <v>4</v>
      </c>
      <c r="BC72" s="1" t="s">
        <v>4</v>
      </c>
      <c r="BD72" s="1" t="s">
        <v>4</v>
      </c>
      <c r="BE72" s="1" t="s">
        <v>4</v>
      </c>
      <c r="BF72" s="1" t="s">
        <v>4</v>
      </c>
      <c r="BG72" s="1" t="s">
        <v>4</v>
      </c>
      <c r="BH72" s="1" t="s">
        <v>4</v>
      </c>
      <c r="BI72" s="1" t="s">
        <v>4</v>
      </c>
      <c r="BJ72" s="1" t="s">
        <v>4</v>
      </c>
      <c r="BK72" s="1" t="s">
        <v>4</v>
      </c>
      <c r="BL72" s="1" t="s">
        <v>4</v>
      </c>
      <c r="BM72" s="1" t="s">
        <v>4</v>
      </c>
      <c r="BN72" s="1" t="s">
        <v>4</v>
      </c>
      <c r="BO72" s="1" t="s">
        <v>4</v>
      </c>
      <c r="BP72" s="1" t="s">
        <v>4</v>
      </c>
      <c r="BQ72" s="1"/>
      <c r="BR72" s="1"/>
      <c r="BS72" s="1"/>
      <c r="BT72" s="1"/>
      <c r="BU72" s="1"/>
      <c r="BV72" s="1"/>
      <c r="BW72" s="1"/>
      <c r="BX72" s="1">
        <v>0</v>
      </c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>
        <v>0</v>
      </c>
    </row>
    <row r="74" spans="1:245" x14ac:dyDescent="0.25">
      <c r="A74" s="2">
        <v>52</v>
      </c>
      <c r="B74" s="2">
        <f t="shared" ref="B74:G74" si="60">B94</f>
        <v>1</v>
      </c>
      <c r="C74" s="2">
        <f t="shared" si="60"/>
        <v>4</v>
      </c>
      <c r="D74" s="2">
        <f t="shared" si="60"/>
        <v>72</v>
      </c>
      <c r="E74" s="2">
        <f t="shared" si="60"/>
        <v>0</v>
      </c>
      <c r="F74" s="2" t="str">
        <f t="shared" si="60"/>
        <v>2</v>
      </c>
      <c r="G74" s="2" t="str">
        <f t="shared" si="60"/>
        <v>Оборудование</v>
      </c>
      <c r="H74" s="2"/>
      <c r="I74" s="2"/>
      <c r="J74" s="2"/>
      <c r="K74" s="2"/>
      <c r="L74" s="2"/>
      <c r="M74" s="2"/>
      <c r="N74" s="2"/>
      <c r="O74" s="2">
        <f t="shared" ref="O74:AT74" si="61">O94</f>
        <v>454918.13</v>
      </c>
      <c r="P74" s="2">
        <f t="shared" si="61"/>
        <v>454918.13</v>
      </c>
      <c r="Q74" s="2">
        <f t="shared" si="61"/>
        <v>0</v>
      </c>
      <c r="R74" s="2">
        <f t="shared" si="61"/>
        <v>0</v>
      </c>
      <c r="S74" s="2">
        <f t="shared" si="61"/>
        <v>0</v>
      </c>
      <c r="T74" s="2">
        <f t="shared" si="61"/>
        <v>0</v>
      </c>
      <c r="U74" s="2">
        <f t="shared" si="61"/>
        <v>0</v>
      </c>
      <c r="V74" s="2">
        <f t="shared" si="61"/>
        <v>0</v>
      </c>
      <c r="W74" s="2">
        <f t="shared" si="61"/>
        <v>0</v>
      </c>
      <c r="X74" s="2">
        <f t="shared" si="61"/>
        <v>0</v>
      </c>
      <c r="Y74" s="2">
        <f t="shared" si="61"/>
        <v>0</v>
      </c>
      <c r="Z74" s="2">
        <f t="shared" si="61"/>
        <v>0</v>
      </c>
      <c r="AA74" s="2">
        <f t="shared" si="61"/>
        <v>0</v>
      </c>
      <c r="AB74" s="2">
        <f t="shared" si="61"/>
        <v>454918.13</v>
      </c>
      <c r="AC74" s="2">
        <f t="shared" si="61"/>
        <v>454918.13</v>
      </c>
      <c r="AD74" s="2">
        <f t="shared" si="61"/>
        <v>0</v>
      </c>
      <c r="AE74" s="2">
        <f t="shared" si="61"/>
        <v>0</v>
      </c>
      <c r="AF74" s="2">
        <f t="shared" si="61"/>
        <v>0</v>
      </c>
      <c r="AG74" s="2">
        <f t="shared" si="61"/>
        <v>0</v>
      </c>
      <c r="AH74" s="2">
        <f t="shared" si="61"/>
        <v>0</v>
      </c>
      <c r="AI74" s="2">
        <f t="shared" si="61"/>
        <v>0</v>
      </c>
      <c r="AJ74" s="2">
        <f t="shared" si="61"/>
        <v>0</v>
      </c>
      <c r="AK74" s="2">
        <f t="shared" si="61"/>
        <v>0</v>
      </c>
      <c r="AL74" s="2">
        <f t="shared" si="61"/>
        <v>0</v>
      </c>
      <c r="AM74" s="2">
        <f t="shared" si="61"/>
        <v>0</v>
      </c>
      <c r="AN74" s="2">
        <f t="shared" si="61"/>
        <v>0</v>
      </c>
      <c r="AO74" s="2">
        <f t="shared" si="61"/>
        <v>0</v>
      </c>
      <c r="AP74" s="2">
        <f t="shared" si="61"/>
        <v>454918.13</v>
      </c>
      <c r="AQ74" s="2">
        <f t="shared" si="61"/>
        <v>0</v>
      </c>
      <c r="AR74" s="2">
        <f t="shared" si="61"/>
        <v>454918.13</v>
      </c>
      <c r="AS74" s="2">
        <f t="shared" si="61"/>
        <v>0</v>
      </c>
      <c r="AT74" s="2">
        <f t="shared" si="61"/>
        <v>0</v>
      </c>
      <c r="AU74" s="2">
        <f t="shared" ref="AU74:BZ74" si="62">AU94</f>
        <v>0</v>
      </c>
      <c r="AV74" s="2">
        <f t="shared" si="62"/>
        <v>454918.13</v>
      </c>
      <c r="AW74" s="2">
        <f t="shared" si="62"/>
        <v>0</v>
      </c>
      <c r="AX74" s="2">
        <f t="shared" si="62"/>
        <v>0</v>
      </c>
      <c r="AY74" s="2">
        <f t="shared" si="62"/>
        <v>0</v>
      </c>
      <c r="AZ74" s="2">
        <f t="shared" si="62"/>
        <v>454918.13</v>
      </c>
      <c r="BA74" s="2">
        <f t="shared" si="62"/>
        <v>0</v>
      </c>
      <c r="BB74" s="2">
        <f t="shared" si="62"/>
        <v>0</v>
      </c>
      <c r="BC74" s="2">
        <f t="shared" si="62"/>
        <v>0</v>
      </c>
      <c r="BD74" s="2">
        <f t="shared" si="62"/>
        <v>0</v>
      </c>
      <c r="BE74" s="2">
        <f t="shared" si="62"/>
        <v>0</v>
      </c>
      <c r="BF74" s="2">
        <f t="shared" si="62"/>
        <v>0</v>
      </c>
      <c r="BG74" s="2">
        <f t="shared" si="62"/>
        <v>0</v>
      </c>
      <c r="BH74" s="2">
        <f t="shared" si="62"/>
        <v>0</v>
      </c>
      <c r="BI74" s="2">
        <f t="shared" si="62"/>
        <v>0</v>
      </c>
      <c r="BJ74" s="2">
        <f t="shared" si="62"/>
        <v>0</v>
      </c>
      <c r="BK74" s="2">
        <f t="shared" si="62"/>
        <v>0</v>
      </c>
      <c r="BL74" s="2">
        <f t="shared" si="62"/>
        <v>0</v>
      </c>
      <c r="BM74" s="2">
        <f t="shared" si="62"/>
        <v>0</v>
      </c>
      <c r="BN74" s="2">
        <f t="shared" si="62"/>
        <v>0</v>
      </c>
      <c r="BO74" s="2">
        <f t="shared" si="62"/>
        <v>0</v>
      </c>
      <c r="BP74" s="2">
        <f t="shared" si="62"/>
        <v>0</v>
      </c>
      <c r="BQ74" s="2">
        <f t="shared" si="62"/>
        <v>0</v>
      </c>
      <c r="BR74" s="2">
        <f t="shared" si="62"/>
        <v>0</v>
      </c>
      <c r="BS74" s="2">
        <f t="shared" si="62"/>
        <v>0</v>
      </c>
      <c r="BT74" s="2">
        <f t="shared" si="62"/>
        <v>0</v>
      </c>
      <c r="BU74" s="2">
        <f t="shared" si="62"/>
        <v>0</v>
      </c>
      <c r="BV74" s="2">
        <f t="shared" si="62"/>
        <v>0</v>
      </c>
      <c r="BW74" s="2">
        <f t="shared" si="62"/>
        <v>0</v>
      </c>
      <c r="BX74" s="2">
        <f t="shared" si="62"/>
        <v>0</v>
      </c>
      <c r="BY74" s="2">
        <f t="shared" si="62"/>
        <v>454918.13</v>
      </c>
      <c r="BZ74" s="2">
        <f t="shared" si="62"/>
        <v>0</v>
      </c>
      <c r="CA74" s="2">
        <f t="shared" ref="CA74:DF74" si="63">CA94</f>
        <v>454918.13</v>
      </c>
      <c r="CB74" s="2">
        <f t="shared" si="63"/>
        <v>0</v>
      </c>
      <c r="CC74" s="2">
        <f t="shared" si="63"/>
        <v>0</v>
      </c>
      <c r="CD74" s="2">
        <f t="shared" si="63"/>
        <v>0</v>
      </c>
      <c r="CE74" s="2">
        <f t="shared" si="63"/>
        <v>454918.13</v>
      </c>
      <c r="CF74" s="2">
        <f t="shared" si="63"/>
        <v>0</v>
      </c>
      <c r="CG74" s="2">
        <f t="shared" si="63"/>
        <v>0</v>
      </c>
      <c r="CH74" s="2">
        <f t="shared" si="63"/>
        <v>0</v>
      </c>
      <c r="CI74" s="2">
        <f t="shared" si="63"/>
        <v>454918.13</v>
      </c>
      <c r="CJ74" s="2">
        <f t="shared" si="63"/>
        <v>0</v>
      </c>
      <c r="CK74" s="2">
        <f t="shared" si="63"/>
        <v>0</v>
      </c>
      <c r="CL74" s="2">
        <f t="shared" si="63"/>
        <v>0</v>
      </c>
      <c r="CM74" s="2">
        <f t="shared" si="63"/>
        <v>0</v>
      </c>
      <c r="CN74" s="2">
        <f t="shared" si="63"/>
        <v>0</v>
      </c>
      <c r="CO74" s="2">
        <f t="shared" si="63"/>
        <v>0</v>
      </c>
      <c r="CP74" s="2">
        <f t="shared" si="63"/>
        <v>0</v>
      </c>
      <c r="CQ74" s="2">
        <f t="shared" si="63"/>
        <v>0</v>
      </c>
      <c r="CR74" s="2">
        <f t="shared" si="63"/>
        <v>0</v>
      </c>
      <c r="CS74" s="2">
        <f t="shared" si="63"/>
        <v>0</v>
      </c>
      <c r="CT74" s="2">
        <f t="shared" si="63"/>
        <v>0</v>
      </c>
      <c r="CU74" s="2">
        <f t="shared" si="63"/>
        <v>0</v>
      </c>
      <c r="CV74" s="2">
        <f t="shared" si="63"/>
        <v>0</v>
      </c>
      <c r="CW74" s="2">
        <f t="shared" si="63"/>
        <v>0</v>
      </c>
      <c r="CX74" s="2">
        <f t="shared" si="63"/>
        <v>0</v>
      </c>
      <c r="CY74" s="2">
        <f t="shared" si="63"/>
        <v>0</v>
      </c>
      <c r="CZ74" s="2">
        <f t="shared" si="63"/>
        <v>0</v>
      </c>
      <c r="DA74" s="2">
        <f t="shared" si="63"/>
        <v>0</v>
      </c>
      <c r="DB74" s="2">
        <f t="shared" si="63"/>
        <v>0</v>
      </c>
      <c r="DC74" s="2">
        <f t="shared" si="63"/>
        <v>0</v>
      </c>
      <c r="DD74" s="2">
        <f t="shared" si="63"/>
        <v>0</v>
      </c>
      <c r="DE74" s="2">
        <f t="shared" si="63"/>
        <v>0</v>
      </c>
      <c r="DF74" s="2">
        <f t="shared" si="63"/>
        <v>0</v>
      </c>
      <c r="DG74" s="3">
        <f t="shared" ref="DG74:EL74" si="64">DG94</f>
        <v>0</v>
      </c>
      <c r="DH74" s="3">
        <f t="shared" si="64"/>
        <v>0</v>
      </c>
      <c r="DI74" s="3">
        <f t="shared" si="64"/>
        <v>0</v>
      </c>
      <c r="DJ74" s="3">
        <f t="shared" si="64"/>
        <v>0</v>
      </c>
      <c r="DK74" s="3">
        <f t="shared" si="64"/>
        <v>0</v>
      </c>
      <c r="DL74" s="3">
        <f t="shared" si="64"/>
        <v>0</v>
      </c>
      <c r="DM74" s="3">
        <f t="shared" si="64"/>
        <v>0</v>
      </c>
      <c r="DN74" s="3">
        <f t="shared" si="64"/>
        <v>0</v>
      </c>
      <c r="DO74" s="3">
        <f t="shared" si="64"/>
        <v>0</v>
      </c>
      <c r="DP74" s="3">
        <f t="shared" si="64"/>
        <v>0</v>
      </c>
      <c r="DQ74" s="3">
        <f t="shared" si="64"/>
        <v>0</v>
      </c>
      <c r="DR74" s="3">
        <f t="shared" si="64"/>
        <v>0</v>
      </c>
      <c r="DS74" s="3">
        <f t="shared" si="64"/>
        <v>0</v>
      </c>
      <c r="DT74" s="3">
        <f t="shared" si="64"/>
        <v>0</v>
      </c>
      <c r="DU74" s="3">
        <f t="shared" si="64"/>
        <v>0</v>
      </c>
      <c r="DV74" s="3">
        <f t="shared" si="64"/>
        <v>0</v>
      </c>
      <c r="DW74" s="3">
        <f t="shared" si="64"/>
        <v>0</v>
      </c>
      <c r="DX74" s="3">
        <f t="shared" si="64"/>
        <v>0</v>
      </c>
      <c r="DY74" s="3">
        <f t="shared" si="64"/>
        <v>0</v>
      </c>
      <c r="DZ74" s="3">
        <f t="shared" si="64"/>
        <v>0</v>
      </c>
      <c r="EA74" s="3">
        <f t="shared" si="64"/>
        <v>0</v>
      </c>
      <c r="EB74" s="3">
        <f t="shared" si="64"/>
        <v>0</v>
      </c>
      <c r="EC74" s="3">
        <f t="shared" si="64"/>
        <v>0</v>
      </c>
      <c r="ED74" s="3">
        <f t="shared" si="64"/>
        <v>0</v>
      </c>
      <c r="EE74" s="3">
        <f t="shared" si="64"/>
        <v>0</v>
      </c>
      <c r="EF74" s="3">
        <f t="shared" si="64"/>
        <v>0</v>
      </c>
      <c r="EG74" s="3">
        <f t="shared" si="64"/>
        <v>0</v>
      </c>
      <c r="EH74" s="3">
        <f t="shared" si="64"/>
        <v>0</v>
      </c>
      <c r="EI74" s="3">
        <f t="shared" si="64"/>
        <v>0</v>
      </c>
      <c r="EJ74" s="3">
        <f t="shared" si="64"/>
        <v>0</v>
      </c>
      <c r="EK74" s="3">
        <f t="shared" si="64"/>
        <v>0</v>
      </c>
      <c r="EL74" s="3">
        <f t="shared" si="64"/>
        <v>0</v>
      </c>
      <c r="EM74" s="3">
        <f t="shared" ref="EM74:FR74" si="65">EM94</f>
        <v>0</v>
      </c>
      <c r="EN74" s="3">
        <f t="shared" si="65"/>
        <v>0</v>
      </c>
      <c r="EO74" s="3">
        <f t="shared" si="65"/>
        <v>0</v>
      </c>
      <c r="EP74" s="3">
        <f t="shared" si="65"/>
        <v>0</v>
      </c>
      <c r="EQ74" s="3">
        <f t="shared" si="65"/>
        <v>0</v>
      </c>
      <c r="ER74" s="3">
        <f t="shared" si="65"/>
        <v>0</v>
      </c>
      <c r="ES74" s="3">
        <f t="shared" si="65"/>
        <v>0</v>
      </c>
      <c r="ET74" s="3">
        <f t="shared" si="65"/>
        <v>0</v>
      </c>
      <c r="EU74" s="3">
        <f t="shared" si="65"/>
        <v>0</v>
      </c>
      <c r="EV74" s="3">
        <f t="shared" si="65"/>
        <v>0</v>
      </c>
      <c r="EW74" s="3">
        <f t="shared" si="65"/>
        <v>0</v>
      </c>
      <c r="EX74" s="3">
        <f t="shared" si="65"/>
        <v>0</v>
      </c>
      <c r="EY74" s="3">
        <f t="shared" si="65"/>
        <v>0</v>
      </c>
      <c r="EZ74" s="3">
        <f t="shared" si="65"/>
        <v>0</v>
      </c>
      <c r="FA74" s="3">
        <f t="shared" si="65"/>
        <v>0</v>
      </c>
      <c r="FB74" s="3">
        <f t="shared" si="65"/>
        <v>0</v>
      </c>
      <c r="FC74" s="3">
        <f t="shared" si="65"/>
        <v>0</v>
      </c>
      <c r="FD74" s="3">
        <f t="shared" si="65"/>
        <v>0</v>
      </c>
      <c r="FE74" s="3">
        <f t="shared" si="65"/>
        <v>0</v>
      </c>
      <c r="FF74" s="3">
        <f t="shared" si="65"/>
        <v>0</v>
      </c>
      <c r="FG74" s="3">
        <f t="shared" si="65"/>
        <v>0</v>
      </c>
      <c r="FH74" s="3">
        <f t="shared" si="65"/>
        <v>0</v>
      </c>
      <c r="FI74" s="3">
        <f t="shared" si="65"/>
        <v>0</v>
      </c>
      <c r="FJ74" s="3">
        <f t="shared" si="65"/>
        <v>0</v>
      </c>
      <c r="FK74" s="3">
        <f t="shared" si="65"/>
        <v>0</v>
      </c>
      <c r="FL74" s="3">
        <f t="shared" si="65"/>
        <v>0</v>
      </c>
      <c r="FM74" s="3">
        <f t="shared" si="65"/>
        <v>0</v>
      </c>
      <c r="FN74" s="3">
        <f t="shared" si="65"/>
        <v>0</v>
      </c>
      <c r="FO74" s="3">
        <f t="shared" si="65"/>
        <v>0</v>
      </c>
      <c r="FP74" s="3">
        <f t="shared" si="65"/>
        <v>0</v>
      </c>
      <c r="FQ74" s="3">
        <f t="shared" si="65"/>
        <v>0</v>
      </c>
      <c r="FR74" s="3">
        <f t="shared" si="65"/>
        <v>0</v>
      </c>
      <c r="FS74" s="3">
        <f t="shared" ref="FS74:GX74" si="66">FS94</f>
        <v>0</v>
      </c>
      <c r="FT74" s="3">
        <f t="shared" si="66"/>
        <v>0</v>
      </c>
      <c r="FU74" s="3">
        <f t="shared" si="66"/>
        <v>0</v>
      </c>
      <c r="FV74" s="3">
        <f t="shared" si="66"/>
        <v>0</v>
      </c>
      <c r="FW74" s="3">
        <f t="shared" si="66"/>
        <v>0</v>
      </c>
      <c r="FX74" s="3">
        <f t="shared" si="66"/>
        <v>0</v>
      </c>
      <c r="FY74" s="3">
        <f t="shared" si="66"/>
        <v>0</v>
      </c>
      <c r="FZ74" s="3">
        <f t="shared" si="66"/>
        <v>0</v>
      </c>
      <c r="GA74" s="3">
        <f t="shared" si="66"/>
        <v>0</v>
      </c>
      <c r="GB74" s="3">
        <f t="shared" si="66"/>
        <v>0</v>
      </c>
      <c r="GC74" s="3">
        <f t="shared" si="66"/>
        <v>0</v>
      </c>
      <c r="GD74" s="3">
        <f t="shared" si="66"/>
        <v>0</v>
      </c>
      <c r="GE74" s="3">
        <f t="shared" si="66"/>
        <v>0</v>
      </c>
      <c r="GF74" s="3">
        <f t="shared" si="66"/>
        <v>0</v>
      </c>
      <c r="GG74" s="3">
        <f t="shared" si="66"/>
        <v>0</v>
      </c>
      <c r="GH74" s="3">
        <f t="shared" si="66"/>
        <v>0</v>
      </c>
      <c r="GI74" s="3">
        <f t="shared" si="66"/>
        <v>0</v>
      </c>
      <c r="GJ74" s="3">
        <f t="shared" si="66"/>
        <v>0</v>
      </c>
      <c r="GK74" s="3">
        <f t="shared" si="66"/>
        <v>0</v>
      </c>
      <c r="GL74" s="3">
        <f t="shared" si="66"/>
        <v>0</v>
      </c>
      <c r="GM74" s="3">
        <f t="shared" si="66"/>
        <v>0</v>
      </c>
      <c r="GN74" s="3">
        <f t="shared" si="66"/>
        <v>0</v>
      </c>
      <c r="GO74" s="3">
        <f t="shared" si="66"/>
        <v>0</v>
      </c>
      <c r="GP74" s="3">
        <f t="shared" si="66"/>
        <v>0</v>
      </c>
      <c r="GQ74" s="3">
        <f t="shared" si="66"/>
        <v>0</v>
      </c>
      <c r="GR74" s="3">
        <f t="shared" si="66"/>
        <v>0</v>
      </c>
      <c r="GS74" s="3">
        <f t="shared" si="66"/>
        <v>0</v>
      </c>
      <c r="GT74" s="3">
        <f t="shared" si="66"/>
        <v>0</v>
      </c>
      <c r="GU74" s="3">
        <f t="shared" si="66"/>
        <v>0</v>
      </c>
      <c r="GV74" s="3">
        <f t="shared" si="66"/>
        <v>0</v>
      </c>
      <c r="GW74" s="3">
        <f t="shared" si="66"/>
        <v>0</v>
      </c>
      <c r="GX74" s="3">
        <f t="shared" si="66"/>
        <v>0</v>
      </c>
    </row>
    <row r="76" spans="1:245" x14ac:dyDescent="0.25">
      <c r="A76">
        <v>17</v>
      </c>
      <c r="B76">
        <v>1</v>
      </c>
      <c r="E76" t="s">
        <v>148</v>
      </c>
      <c r="F76" t="s">
        <v>4</v>
      </c>
      <c r="G76" t="s">
        <v>149</v>
      </c>
      <c r="H76" t="s">
        <v>4</v>
      </c>
      <c r="I76">
        <v>0</v>
      </c>
      <c r="J76">
        <v>0</v>
      </c>
      <c r="O76">
        <f t="shared" ref="O76:O90" si="67">ROUND(CP76,2)</f>
        <v>0</v>
      </c>
      <c r="P76">
        <f t="shared" ref="P76:P90" si="68">ROUND((ROUND((AC76*AW76*I76),2)*BC76),2)</f>
        <v>0</v>
      </c>
      <c r="Q76">
        <f t="shared" ref="Q76:Q90" si="69">(ROUND((ROUND(((ET76)*AV76*I76),2)*BB76),2)+ROUND((ROUND(((AE76-(EU76))*AV76*I76),2)*BS76),2))</f>
        <v>0</v>
      </c>
      <c r="R76">
        <f t="shared" ref="R76:R90" si="70">ROUND((ROUND((AE76*AV76*I76),2)*BS76),2)</f>
        <v>0</v>
      </c>
      <c r="S76">
        <f t="shared" ref="S76:S90" si="71">ROUND((ROUND((AF76*AV76*I76),2)*BA76),2)</f>
        <v>0</v>
      </c>
      <c r="T76">
        <f t="shared" ref="T76:T90" si="72">ROUND(CU76*I76,2)</f>
        <v>0</v>
      </c>
      <c r="U76">
        <f t="shared" ref="U76:U90" si="73">CV76*I76</f>
        <v>0</v>
      </c>
      <c r="V76">
        <f t="shared" ref="V76:V90" si="74">CW76*I76</f>
        <v>0</v>
      </c>
      <c r="W76">
        <f t="shared" ref="W76:W90" si="75">ROUND(CX76*I76,2)</f>
        <v>0</v>
      </c>
      <c r="X76">
        <f t="shared" ref="X76:X90" si="76">ROUND(CY76,2)</f>
        <v>0</v>
      </c>
      <c r="Y76">
        <f t="shared" ref="Y76:Y90" si="77">ROUND(CZ76,2)</f>
        <v>0</v>
      </c>
      <c r="AA76">
        <v>40520239</v>
      </c>
      <c r="AB76">
        <f t="shared" ref="AB76:AB90" si="78">ROUND((AC76+AD76+AF76),6)</f>
        <v>0</v>
      </c>
      <c r="AC76">
        <f t="shared" ref="AC76:AC90" si="79">ROUND((ES76),6)</f>
        <v>0</v>
      </c>
      <c r="AD76">
        <f t="shared" ref="AD76:AD90" si="80">ROUND((((ET76)-(EU76))+AE76),6)</f>
        <v>0</v>
      </c>
      <c r="AE76">
        <f t="shared" ref="AE76:AE90" si="81">ROUND((EU76),6)</f>
        <v>0</v>
      </c>
      <c r="AF76">
        <f t="shared" ref="AF76:AF90" si="82">ROUND((EV76),6)</f>
        <v>0</v>
      </c>
      <c r="AG76">
        <f t="shared" ref="AG76:AG90" si="83">ROUND((AP76),6)</f>
        <v>0</v>
      </c>
      <c r="AH76">
        <f t="shared" ref="AH76:AH90" si="84">(EW76)</f>
        <v>0</v>
      </c>
      <c r="AI76">
        <f t="shared" ref="AI76:AI90" si="85">(EX76)</f>
        <v>0</v>
      </c>
      <c r="AJ76">
        <f t="shared" ref="AJ76:AJ90" si="86">(AS76)</f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1</v>
      </c>
      <c r="BD76" t="s">
        <v>4</v>
      </c>
      <c r="BE76" t="s">
        <v>4</v>
      </c>
      <c r="BF76" t="s">
        <v>4</v>
      </c>
      <c r="BG76" t="s">
        <v>4</v>
      </c>
      <c r="BH76">
        <v>3</v>
      </c>
      <c r="BI76">
        <v>1</v>
      </c>
      <c r="BJ76" t="s">
        <v>4</v>
      </c>
      <c r="BM76">
        <v>400002</v>
      </c>
      <c r="BN76">
        <v>0</v>
      </c>
      <c r="BO76" t="s">
        <v>4</v>
      </c>
      <c r="BP76">
        <v>0</v>
      </c>
      <c r="BQ76">
        <v>202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4</v>
      </c>
      <c r="BZ76">
        <v>0</v>
      </c>
      <c r="CA76">
        <v>0</v>
      </c>
      <c r="CE76">
        <v>30</v>
      </c>
      <c r="CF76">
        <v>0</v>
      </c>
      <c r="CG76">
        <v>0</v>
      </c>
      <c r="CM76">
        <v>0</v>
      </c>
      <c r="CN76" t="s">
        <v>4</v>
      </c>
      <c r="CO76">
        <v>0</v>
      </c>
      <c r="CP76">
        <f t="shared" ref="CP76:CP90" si="87">(P76+Q76+S76)</f>
        <v>0</v>
      </c>
      <c r="CQ76">
        <f t="shared" ref="CQ76:CQ90" si="88">ROUND((ROUND((AC76*AW76*1),2)*BC76),2)</f>
        <v>0</v>
      </c>
      <c r="CR76">
        <f t="shared" ref="CR76:CR90" si="89">(ROUND((ROUND(((ET76)*AV76*1),2)*BB76),2)+ROUND((ROUND(((AE76-(EU76))*AV76*1),2)*BS76),2))</f>
        <v>0</v>
      </c>
      <c r="CS76">
        <f t="shared" ref="CS76:CS90" si="90">ROUND((ROUND((AE76*AV76*1),2)*BS76),2)</f>
        <v>0</v>
      </c>
      <c r="CT76">
        <f t="shared" ref="CT76:CT90" si="91">ROUND((ROUND((AF76*AV76*1),2)*BA76),2)</f>
        <v>0</v>
      </c>
      <c r="CU76">
        <f t="shared" ref="CU76:CU90" si="92">AG76</f>
        <v>0</v>
      </c>
      <c r="CV76">
        <f t="shared" ref="CV76:CV90" si="93">(AH76*AV76)</f>
        <v>0</v>
      </c>
      <c r="CW76">
        <f t="shared" ref="CW76:CW90" si="94">AI76</f>
        <v>0</v>
      </c>
      <c r="CX76">
        <f t="shared" ref="CX76:CX90" si="95">AJ76</f>
        <v>0</v>
      </c>
      <c r="CY76">
        <f t="shared" ref="CY76:CY90" si="96">S76*(BZ76/100)</f>
        <v>0</v>
      </c>
      <c r="CZ76">
        <f t="shared" ref="CZ76:CZ90" si="97">S76*(CA76/100)</f>
        <v>0</v>
      </c>
      <c r="DC76" t="s">
        <v>4</v>
      </c>
      <c r="DD76" t="s">
        <v>4</v>
      </c>
      <c r="DE76" t="s">
        <v>4</v>
      </c>
      <c r="DF76" t="s">
        <v>4</v>
      </c>
      <c r="DG76" t="s">
        <v>4</v>
      </c>
      <c r="DH76" t="s">
        <v>4</v>
      </c>
      <c r="DI76" t="s">
        <v>4</v>
      </c>
      <c r="DJ76" t="s">
        <v>4</v>
      </c>
      <c r="DK76" t="s">
        <v>4</v>
      </c>
      <c r="DL76" t="s">
        <v>4</v>
      </c>
      <c r="DM76" t="s">
        <v>4</v>
      </c>
      <c r="DN76">
        <v>0</v>
      </c>
      <c r="DO76">
        <v>0</v>
      </c>
      <c r="DP76">
        <v>1</v>
      </c>
      <c r="DQ76">
        <v>1</v>
      </c>
      <c r="EE76">
        <v>40098777</v>
      </c>
      <c r="EF76">
        <v>202</v>
      </c>
      <c r="EG76" t="s">
        <v>150</v>
      </c>
      <c r="EH76">
        <v>0</v>
      </c>
      <c r="EI76" t="s">
        <v>4</v>
      </c>
      <c r="EJ76">
        <v>1</v>
      </c>
      <c r="EK76">
        <v>400002</v>
      </c>
      <c r="EL76" t="s">
        <v>151</v>
      </c>
      <c r="EM76" t="s">
        <v>150</v>
      </c>
      <c r="EO76" t="s">
        <v>4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FQ76">
        <v>0</v>
      </c>
      <c r="FR76">
        <f t="shared" ref="FR76:FR90" si="98">ROUND(IF(AND(BH76=3,BI76=3),P76,0),2)</f>
        <v>0</v>
      </c>
      <c r="FS76">
        <v>0</v>
      </c>
      <c r="FX76">
        <v>0</v>
      </c>
      <c r="FY76">
        <v>0</v>
      </c>
      <c r="GA76" t="s">
        <v>4</v>
      </c>
      <c r="GD76">
        <v>0</v>
      </c>
      <c r="GF76">
        <v>1359847430</v>
      </c>
      <c r="GG76">
        <v>2</v>
      </c>
      <c r="GH76">
        <v>0</v>
      </c>
      <c r="GI76">
        <v>-2</v>
      </c>
      <c r="GJ76">
        <v>0</v>
      </c>
      <c r="GK76">
        <f>ROUND(R76*(R12)/100,2)</f>
        <v>0</v>
      </c>
      <c r="GL76">
        <f t="shared" ref="GL76:GL90" si="99">ROUND(IF(AND(BH76=3,BI76=3,FS76&lt;&gt;0),P76,0),2)</f>
        <v>0</v>
      </c>
      <c r="GM76">
        <f t="shared" ref="GM76:GM90" si="100">ROUND(O76+X76+Y76+GK76,2)+GX76</f>
        <v>0</v>
      </c>
      <c r="GN76">
        <f t="shared" ref="GN76:GN90" si="101">IF(OR(BI76=0,BI76=1),ROUND(O76+X76+Y76+GK76,2),0)</f>
        <v>0</v>
      </c>
      <c r="GO76">
        <f t="shared" ref="GO76:GO90" si="102">IF(BI76=2,ROUND(O76+X76+Y76+GK76,2),0)</f>
        <v>0</v>
      </c>
      <c r="GP76">
        <f t="shared" ref="GP76:GP90" si="103">IF(BI76=4,ROUND(O76+X76+Y76+GK76,2)+GX76,0)</f>
        <v>0</v>
      </c>
      <c r="GR76">
        <v>0</v>
      </c>
      <c r="GS76">
        <v>3</v>
      </c>
      <c r="GT76">
        <v>0</v>
      </c>
      <c r="GU76" t="s">
        <v>4</v>
      </c>
      <c r="GV76">
        <f t="shared" ref="GV76:GV90" si="104">ROUND((GT76),6)</f>
        <v>0</v>
      </c>
      <c r="GW76">
        <v>1</v>
      </c>
      <c r="GX76">
        <f t="shared" ref="GX76:GX90" si="105">ROUND(HC76*I76,2)</f>
        <v>0</v>
      </c>
      <c r="HA76">
        <v>0</v>
      </c>
      <c r="HB76">
        <v>0</v>
      </c>
      <c r="HC76">
        <f t="shared" ref="HC76:HC90" si="106">GV76*GW76</f>
        <v>0</v>
      </c>
      <c r="IK76">
        <v>0</v>
      </c>
    </row>
    <row r="77" spans="1:245" x14ac:dyDescent="0.25">
      <c r="A77">
        <v>17</v>
      </c>
      <c r="B77">
        <v>1</v>
      </c>
      <c r="E77" t="s">
        <v>152</v>
      </c>
      <c r="F77" t="s">
        <v>153</v>
      </c>
      <c r="G77" t="s">
        <v>154</v>
      </c>
      <c r="H77" t="s">
        <v>155</v>
      </c>
      <c r="I77">
        <v>1</v>
      </c>
      <c r="J77">
        <v>0</v>
      </c>
      <c r="O77">
        <f t="shared" si="67"/>
        <v>12738.52</v>
      </c>
      <c r="P77">
        <f t="shared" si="68"/>
        <v>12738.52</v>
      </c>
      <c r="Q77">
        <f t="shared" si="69"/>
        <v>0</v>
      </c>
      <c r="R77">
        <f t="shared" si="70"/>
        <v>0</v>
      </c>
      <c r="S77">
        <f t="shared" si="71"/>
        <v>0</v>
      </c>
      <c r="T77">
        <f t="shared" si="72"/>
        <v>0</v>
      </c>
      <c r="U77">
        <f t="shared" si="73"/>
        <v>0</v>
      </c>
      <c r="V77">
        <f t="shared" si="74"/>
        <v>0</v>
      </c>
      <c r="W77">
        <f t="shared" si="75"/>
        <v>0</v>
      </c>
      <c r="X77">
        <f t="shared" si="76"/>
        <v>0</v>
      </c>
      <c r="Y77">
        <f t="shared" si="77"/>
        <v>0</v>
      </c>
      <c r="AA77">
        <v>40520239</v>
      </c>
      <c r="AB77">
        <f t="shared" si="78"/>
        <v>2670.55</v>
      </c>
      <c r="AC77">
        <f t="shared" si="79"/>
        <v>2670.55</v>
      </c>
      <c r="AD77">
        <f t="shared" si="80"/>
        <v>0</v>
      </c>
      <c r="AE77">
        <f t="shared" si="81"/>
        <v>0</v>
      </c>
      <c r="AF77">
        <f t="shared" si="82"/>
        <v>0</v>
      </c>
      <c r="AG77">
        <f t="shared" si="83"/>
        <v>0</v>
      </c>
      <c r="AH77">
        <f t="shared" si="84"/>
        <v>0</v>
      </c>
      <c r="AI77">
        <f t="shared" si="85"/>
        <v>0</v>
      </c>
      <c r="AJ77">
        <f t="shared" si="86"/>
        <v>0</v>
      </c>
      <c r="AK77">
        <v>2670.55</v>
      </c>
      <c r="AL77">
        <v>2670.55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4.7699999999999996</v>
      </c>
      <c r="BD77" t="s">
        <v>4</v>
      </c>
      <c r="BE77" t="s">
        <v>4</v>
      </c>
      <c r="BF77" t="s">
        <v>4</v>
      </c>
      <c r="BG77" t="s">
        <v>4</v>
      </c>
      <c r="BH77">
        <v>3</v>
      </c>
      <c r="BI77">
        <v>3</v>
      </c>
      <c r="BJ77" t="s">
        <v>4</v>
      </c>
      <c r="BM77">
        <v>746</v>
      </c>
      <c r="BN77">
        <v>0</v>
      </c>
      <c r="BO77" t="s">
        <v>4</v>
      </c>
      <c r="BP77">
        <v>0</v>
      </c>
      <c r="BQ77">
        <v>130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4</v>
      </c>
      <c r="BZ77">
        <v>0</v>
      </c>
      <c r="CA77">
        <v>0</v>
      </c>
      <c r="CE77">
        <v>30</v>
      </c>
      <c r="CF77">
        <v>0</v>
      </c>
      <c r="CG77">
        <v>0</v>
      </c>
      <c r="CM77">
        <v>0</v>
      </c>
      <c r="CN77" t="s">
        <v>4</v>
      </c>
      <c r="CO77">
        <v>0</v>
      </c>
      <c r="CP77">
        <f t="shared" si="87"/>
        <v>12738.52</v>
      </c>
      <c r="CQ77">
        <f t="shared" si="88"/>
        <v>12738.52</v>
      </c>
      <c r="CR77">
        <f t="shared" si="89"/>
        <v>0</v>
      </c>
      <c r="CS77">
        <f t="shared" si="90"/>
        <v>0</v>
      </c>
      <c r="CT77">
        <f t="shared" si="91"/>
        <v>0</v>
      </c>
      <c r="CU77">
        <f t="shared" si="92"/>
        <v>0</v>
      </c>
      <c r="CV77">
        <f t="shared" si="93"/>
        <v>0</v>
      </c>
      <c r="CW77">
        <f t="shared" si="94"/>
        <v>0</v>
      </c>
      <c r="CX77">
        <f t="shared" si="95"/>
        <v>0</v>
      </c>
      <c r="CY77">
        <f t="shared" si="96"/>
        <v>0</v>
      </c>
      <c r="CZ77">
        <f t="shared" si="97"/>
        <v>0</v>
      </c>
      <c r="DC77" t="s">
        <v>4</v>
      </c>
      <c r="DD77" t="s">
        <v>4</v>
      </c>
      <c r="DE77" t="s">
        <v>4</v>
      </c>
      <c r="DF77" t="s">
        <v>4</v>
      </c>
      <c r="DG77" t="s">
        <v>4</v>
      </c>
      <c r="DH77" t="s">
        <v>4</v>
      </c>
      <c r="DI77" t="s">
        <v>4</v>
      </c>
      <c r="DJ77" t="s">
        <v>4</v>
      </c>
      <c r="DK77" t="s">
        <v>4</v>
      </c>
      <c r="DL77" t="s">
        <v>4</v>
      </c>
      <c r="DM77" t="s">
        <v>4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155</v>
      </c>
      <c r="DW77" t="s">
        <v>155</v>
      </c>
      <c r="DX77">
        <v>1</v>
      </c>
      <c r="EE77">
        <v>40097556</v>
      </c>
      <c r="EF77">
        <v>130</v>
      </c>
      <c r="EG77" t="s">
        <v>156</v>
      </c>
      <c r="EH77">
        <v>0</v>
      </c>
      <c r="EI77" t="s">
        <v>4</v>
      </c>
      <c r="EJ77">
        <v>3</v>
      </c>
      <c r="EK77">
        <v>746</v>
      </c>
      <c r="EL77" t="s">
        <v>157</v>
      </c>
      <c r="EM77" t="s">
        <v>158</v>
      </c>
      <c r="EO77" t="s">
        <v>4</v>
      </c>
      <c r="EQ77">
        <v>131072</v>
      </c>
      <c r="ER77">
        <v>2670.55</v>
      </c>
      <c r="ES77">
        <v>2670.55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5</v>
      </c>
      <c r="FC77">
        <v>1</v>
      </c>
      <c r="FD77">
        <v>18</v>
      </c>
      <c r="FF77">
        <v>14665</v>
      </c>
      <c r="FQ77">
        <v>0</v>
      </c>
      <c r="FR77">
        <f t="shared" si="98"/>
        <v>12738.52</v>
      </c>
      <c r="FS77">
        <v>0</v>
      </c>
      <c r="FX77">
        <v>0</v>
      </c>
      <c r="FY77">
        <v>0</v>
      </c>
      <c r="GA77" t="s">
        <v>159</v>
      </c>
      <c r="GD77">
        <v>0</v>
      </c>
      <c r="GF77">
        <v>-87901938</v>
      </c>
      <c r="GG77">
        <v>2</v>
      </c>
      <c r="GH77">
        <v>3</v>
      </c>
      <c r="GI77">
        <v>3</v>
      </c>
      <c r="GJ77">
        <v>0</v>
      </c>
      <c r="GK77">
        <f>ROUND(R77*(R12)/100,2)</f>
        <v>0</v>
      </c>
      <c r="GL77">
        <f t="shared" si="99"/>
        <v>0</v>
      </c>
      <c r="GM77">
        <f t="shared" si="100"/>
        <v>12738.52</v>
      </c>
      <c r="GN77">
        <f t="shared" si="101"/>
        <v>0</v>
      </c>
      <c r="GO77">
        <f t="shared" si="102"/>
        <v>0</v>
      </c>
      <c r="GP77">
        <f t="shared" si="103"/>
        <v>0</v>
      </c>
      <c r="GR77">
        <v>1</v>
      </c>
      <c r="GS77">
        <v>1</v>
      </c>
      <c r="GT77">
        <v>0</v>
      </c>
      <c r="GU77" t="s">
        <v>4</v>
      </c>
      <c r="GV77">
        <f t="shared" si="104"/>
        <v>0</v>
      </c>
      <c r="GW77">
        <v>1</v>
      </c>
      <c r="GX77">
        <f t="shared" si="105"/>
        <v>0</v>
      </c>
      <c r="HA77">
        <v>0</v>
      </c>
      <c r="HB77">
        <v>0</v>
      </c>
      <c r="HC77">
        <f t="shared" si="106"/>
        <v>0</v>
      </c>
      <c r="IK77">
        <v>0</v>
      </c>
    </row>
    <row r="78" spans="1:245" x14ac:dyDescent="0.25">
      <c r="A78">
        <v>17</v>
      </c>
      <c r="B78">
        <v>1</v>
      </c>
      <c r="E78" t="s">
        <v>160</v>
      </c>
      <c r="F78" t="s">
        <v>153</v>
      </c>
      <c r="G78" t="s">
        <v>161</v>
      </c>
      <c r="H78" t="s">
        <v>155</v>
      </c>
      <c r="I78">
        <v>1</v>
      </c>
      <c r="J78">
        <v>0</v>
      </c>
      <c r="O78">
        <f t="shared" si="67"/>
        <v>569.44000000000005</v>
      </c>
      <c r="P78">
        <f t="shared" si="68"/>
        <v>569.44000000000005</v>
      </c>
      <c r="Q78">
        <f t="shared" si="69"/>
        <v>0</v>
      </c>
      <c r="R78">
        <f t="shared" si="70"/>
        <v>0</v>
      </c>
      <c r="S78">
        <f t="shared" si="71"/>
        <v>0</v>
      </c>
      <c r="T78">
        <f t="shared" si="72"/>
        <v>0</v>
      </c>
      <c r="U78">
        <f t="shared" si="73"/>
        <v>0</v>
      </c>
      <c r="V78">
        <f t="shared" si="74"/>
        <v>0</v>
      </c>
      <c r="W78">
        <f t="shared" si="75"/>
        <v>0</v>
      </c>
      <c r="X78">
        <f t="shared" si="76"/>
        <v>0</v>
      </c>
      <c r="Y78">
        <f t="shared" si="77"/>
        <v>0</v>
      </c>
      <c r="AA78">
        <v>40520239</v>
      </c>
      <c r="AB78">
        <f t="shared" si="78"/>
        <v>119.38</v>
      </c>
      <c r="AC78">
        <f t="shared" si="79"/>
        <v>119.38</v>
      </c>
      <c r="AD78">
        <f t="shared" si="80"/>
        <v>0</v>
      </c>
      <c r="AE78">
        <f t="shared" si="81"/>
        <v>0</v>
      </c>
      <c r="AF78">
        <f t="shared" si="82"/>
        <v>0</v>
      </c>
      <c r="AG78">
        <f t="shared" si="83"/>
        <v>0</v>
      </c>
      <c r="AH78">
        <f t="shared" si="84"/>
        <v>0</v>
      </c>
      <c r="AI78">
        <f t="shared" si="85"/>
        <v>0</v>
      </c>
      <c r="AJ78">
        <f t="shared" si="86"/>
        <v>0</v>
      </c>
      <c r="AK78">
        <v>119.38</v>
      </c>
      <c r="AL78">
        <v>119.38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4.7699999999999996</v>
      </c>
      <c r="BD78" t="s">
        <v>4</v>
      </c>
      <c r="BE78" t="s">
        <v>4</v>
      </c>
      <c r="BF78" t="s">
        <v>4</v>
      </c>
      <c r="BG78" t="s">
        <v>4</v>
      </c>
      <c r="BH78">
        <v>3</v>
      </c>
      <c r="BI78">
        <v>3</v>
      </c>
      <c r="BJ78" t="s">
        <v>4</v>
      </c>
      <c r="BM78">
        <v>746</v>
      </c>
      <c r="BN78">
        <v>0</v>
      </c>
      <c r="BO78" t="s">
        <v>4</v>
      </c>
      <c r="BP78">
        <v>0</v>
      </c>
      <c r="BQ78">
        <v>130</v>
      </c>
      <c r="BR78">
        <v>0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4</v>
      </c>
      <c r="BZ78">
        <v>0</v>
      </c>
      <c r="CA78">
        <v>0</v>
      </c>
      <c r="CE78">
        <v>30</v>
      </c>
      <c r="CF78">
        <v>0</v>
      </c>
      <c r="CG78">
        <v>0</v>
      </c>
      <c r="CM78">
        <v>0</v>
      </c>
      <c r="CN78" t="s">
        <v>4</v>
      </c>
      <c r="CO78">
        <v>0</v>
      </c>
      <c r="CP78">
        <f t="shared" si="87"/>
        <v>569.44000000000005</v>
      </c>
      <c r="CQ78">
        <f t="shared" si="88"/>
        <v>569.44000000000005</v>
      </c>
      <c r="CR78">
        <f t="shared" si="89"/>
        <v>0</v>
      </c>
      <c r="CS78">
        <f t="shared" si="90"/>
        <v>0</v>
      </c>
      <c r="CT78">
        <f t="shared" si="91"/>
        <v>0</v>
      </c>
      <c r="CU78">
        <f t="shared" si="92"/>
        <v>0</v>
      </c>
      <c r="CV78">
        <f t="shared" si="93"/>
        <v>0</v>
      </c>
      <c r="CW78">
        <f t="shared" si="94"/>
        <v>0</v>
      </c>
      <c r="CX78">
        <f t="shared" si="95"/>
        <v>0</v>
      </c>
      <c r="CY78">
        <f t="shared" si="96"/>
        <v>0</v>
      </c>
      <c r="CZ78">
        <f t="shared" si="97"/>
        <v>0</v>
      </c>
      <c r="DC78" t="s">
        <v>4</v>
      </c>
      <c r="DD78" t="s">
        <v>4</v>
      </c>
      <c r="DE78" t="s">
        <v>4</v>
      </c>
      <c r="DF78" t="s">
        <v>4</v>
      </c>
      <c r="DG78" t="s">
        <v>4</v>
      </c>
      <c r="DH78" t="s">
        <v>4</v>
      </c>
      <c r="DI78" t="s">
        <v>4</v>
      </c>
      <c r="DJ78" t="s">
        <v>4</v>
      </c>
      <c r="DK78" t="s">
        <v>4</v>
      </c>
      <c r="DL78" t="s">
        <v>4</v>
      </c>
      <c r="DM78" t="s">
        <v>4</v>
      </c>
      <c r="DN78">
        <v>0</v>
      </c>
      <c r="DO78">
        <v>0</v>
      </c>
      <c r="DP78">
        <v>1</v>
      </c>
      <c r="DQ78">
        <v>1</v>
      </c>
      <c r="DU78">
        <v>1013</v>
      </c>
      <c r="DV78" t="s">
        <v>155</v>
      </c>
      <c r="DW78" t="s">
        <v>155</v>
      </c>
      <c r="DX78">
        <v>1</v>
      </c>
      <c r="EE78">
        <v>40097556</v>
      </c>
      <c r="EF78">
        <v>130</v>
      </c>
      <c r="EG78" t="s">
        <v>156</v>
      </c>
      <c r="EH78">
        <v>0</v>
      </c>
      <c r="EI78" t="s">
        <v>4</v>
      </c>
      <c r="EJ78">
        <v>3</v>
      </c>
      <c r="EK78">
        <v>746</v>
      </c>
      <c r="EL78" t="s">
        <v>157</v>
      </c>
      <c r="EM78" t="s">
        <v>158</v>
      </c>
      <c r="EO78" t="s">
        <v>4</v>
      </c>
      <c r="EQ78">
        <v>0</v>
      </c>
      <c r="ER78">
        <v>119.38</v>
      </c>
      <c r="ES78">
        <v>119.38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5</v>
      </c>
      <c r="FC78">
        <v>1</v>
      </c>
      <c r="FD78">
        <v>18</v>
      </c>
      <c r="FF78">
        <v>655.5</v>
      </c>
      <c r="FQ78">
        <v>0</v>
      </c>
      <c r="FR78">
        <f t="shared" si="98"/>
        <v>569.44000000000005</v>
      </c>
      <c r="FS78">
        <v>0</v>
      </c>
      <c r="FX78">
        <v>0</v>
      </c>
      <c r="FY78">
        <v>0</v>
      </c>
      <c r="GA78" t="s">
        <v>162</v>
      </c>
      <c r="GD78">
        <v>0</v>
      </c>
      <c r="GF78">
        <v>1066717312</v>
      </c>
      <c r="GG78">
        <v>2</v>
      </c>
      <c r="GH78">
        <v>3</v>
      </c>
      <c r="GI78">
        <v>3</v>
      </c>
      <c r="GJ78">
        <v>0</v>
      </c>
      <c r="GK78">
        <f>ROUND(R78*(R12)/100,2)</f>
        <v>0</v>
      </c>
      <c r="GL78">
        <f t="shared" si="99"/>
        <v>0</v>
      </c>
      <c r="GM78">
        <f t="shared" si="100"/>
        <v>569.44000000000005</v>
      </c>
      <c r="GN78">
        <f t="shared" si="101"/>
        <v>0</v>
      </c>
      <c r="GO78">
        <f t="shared" si="102"/>
        <v>0</v>
      </c>
      <c r="GP78">
        <f t="shared" si="103"/>
        <v>0</v>
      </c>
      <c r="GR78">
        <v>1</v>
      </c>
      <c r="GS78">
        <v>1</v>
      </c>
      <c r="GT78">
        <v>0</v>
      </c>
      <c r="GU78" t="s">
        <v>4</v>
      </c>
      <c r="GV78">
        <f t="shared" si="104"/>
        <v>0</v>
      </c>
      <c r="GW78">
        <v>1</v>
      </c>
      <c r="GX78">
        <f t="shared" si="105"/>
        <v>0</v>
      </c>
      <c r="HA78">
        <v>0</v>
      </c>
      <c r="HB78">
        <v>0</v>
      </c>
      <c r="HC78">
        <f t="shared" si="106"/>
        <v>0</v>
      </c>
      <c r="IK78">
        <v>0</v>
      </c>
    </row>
    <row r="79" spans="1:245" x14ac:dyDescent="0.25">
      <c r="A79">
        <v>17</v>
      </c>
      <c r="B79">
        <v>1</v>
      </c>
      <c r="E79" t="s">
        <v>163</v>
      </c>
      <c r="F79" t="s">
        <v>153</v>
      </c>
      <c r="G79" t="s">
        <v>164</v>
      </c>
      <c r="H79" t="s">
        <v>155</v>
      </c>
      <c r="I79">
        <v>1</v>
      </c>
      <c r="J79">
        <v>0</v>
      </c>
      <c r="O79">
        <f t="shared" si="67"/>
        <v>450.05</v>
      </c>
      <c r="P79">
        <f t="shared" si="68"/>
        <v>450.05</v>
      </c>
      <c r="Q79">
        <f t="shared" si="69"/>
        <v>0</v>
      </c>
      <c r="R79">
        <f t="shared" si="70"/>
        <v>0</v>
      </c>
      <c r="S79">
        <f t="shared" si="71"/>
        <v>0</v>
      </c>
      <c r="T79">
        <f t="shared" si="72"/>
        <v>0</v>
      </c>
      <c r="U79">
        <f t="shared" si="73"/>
        <v>0</v>
      </c>
      <c r="V79">
        <f t="shared" si="74"/>
        <v>0</v>
      </c>
      <c r="W79">
        <f t="shared" si="75"/>
        <v>0</v>
      </c>
      <c r="X79">
        <f t="shared" si="76"/>
        <v>0</v>
      </c>
      <c r="Y79">
        <f t="shared" si="77"/>
        <v>0</v>
      </c>
      <c r="AA79">
        <v>40520239</v>
      </c>
      <c r="AB79">
        <f t="shared" si="78"/>
        <v>94.35</v>
      </c>
      <c r="AC79">
        <f t="shared" si="79"/>
        <v>94.35</v>
      </c>
      <c r="AD79">
        <f t="shared" si="80"/>
        <v>0</v>
      </c>
      <c r="AE79">
        <f t="shared" si="81"/>
        <v>0</v>
      </c>
      <c r="AF79">
        <f t="shared" si="82"/>
        <v>0</v>
      </c>
      <c r="AG79">
        <f t="shared" si="83"/>
        <v>0</v>
      </c>
      <c r="AH79">
        <f t="shared" si="84"/>
        <v>0</v>
      </c>
      <c r="AI79">
        <f t="shared" si="85"/>
        <v>0</v>
      </c>
      <c r="AJ79">
        <f t="shared" si="86"/>
        <v>0</v>
      </c>
      <c r="AK79">
        <v>94.350000000000009</v>
      </c>
      <c r="AL79">
        <v>94.350000000000009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4.7699999999999996</v>
      </c>
      <c r="BD79" t="s">
        <v>4</v>
      </c>
      <c r="BE79" t="s">
        <v>4</v>
      </c>
      <c r="BF79" t="s">
        <v>4</v>
      </c>
      <c r="BG79" t="s">
        <v>4</v>
      </c>
      <c r="BH79">
        <v>3</v>
      </c>
      <c r="BI79">
        <v>3</v>
      </c>
      <c r="BJ79" t="s">
        <v>4</v>
      </c>
      <c r="BM79">
        <v>746</v>
      </c>
      <c r="BN79">
        <v>0</v>
      </c>
      <c r="BO79" t="s">
        <v>4</v>
      </c>
      <c r="BP79">
        <v>0</v>
      </c>
      <c r="BQ79">
        <v>130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4</v>
      </c>
      <c r="BZ79">
        <v>0</v>
      </c>
      <c r="CA79">
        <v>0</v>
      </c>
      <c r="CE79">
        <v>30</v>
      </c>
      <c r="CF79">
        <v>0</v>
      </c>
      <c r="CG79">
        <v>0</v>
      </c>
      <c r="CM79">
        <v>0</v>
      </c>
      <c r="CN79" t="s">
        <v>4</v>
      </c>
      <c r="CO79">
        <v>0</v>
      </c>
      <c r="CP79">
        <f t="shared" si="87"/>
        <v>450.05</v>
      </c>
      <c r="CQ79">
        <f t="shared" si="88"/>
        <v>450.05</v>
      </c>
      <c r="CR79">
        <f t="shared" si="89"/>
        <v>0</v>
      </c>
      <c r="CS79">
        <f t="shared" si="90"/>
        <v>0</v>
      </c>
      <c r="CT79">
        <f t="shared" si="91"/>
        <v>0</v>
      </c>
      <c r="CU79">
        <f t="shared" si="92"/>
        <v>0</v>
      </c>
      <c r="CV79">
        <f t="shared" si="93"/>
        <v>0</v>
      </c>
      <c r="CW79">
        <f t="shared" si="94"/>
        <v>0</v>
      </c>
      <c r="CX79">
        <f t="shared" si="95"/>
        <v>0</v>
      </c>
      <c r="CY79">
        <f t="shared" si="96"/>
        <v>0</v>
      </c>
      <c r="CZ79">
        <f t="shared" si="97"/>
        <v>0</v>
      </c>
      <c r="DC79" t="s">
        <v>4</v>
      </c>
      <c r="DD79" t="s">
        <v>4</v>
      </c>
      <c r="DE79" t="s">
        <v>4</v>
      </c>
      <c r="DF79" t="s">
        <v>4</v>
      </c>
      <c r="DG79" t="s">
        <v>4</v>
      </c>
      <c r="DH79" t="s">
        <v>4</v>
      </c>
      <c r="DI79" t="s">
        <v>4</v>
      </c>
      <c r="DJ79" t="s">
        <v>4</v>
      </c>
      <c r="DK79" t="s">
        <v>4</v>
      </c>
      <c r="DL79" t="s">
        <v>4</v>
      </c>
      <c r="DM79" t="s">
        <v>4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155</v>
      </c>
      <c r="DW79" t="s">
        <v>155</v>
      </c>
      <c r="DX79">
        <v>1</v>
      </c>
      <c r="EE79">
        <v>40097556</v>
      </c>
      <c r="EF79">
        <v>130</v>
      </c>
      <c r="EG79" t="s">
        <v>156</v>
      </c>
      <c r="EH79">
        <v>0</v>
      </c>
      <c r="EI79" t="s">
        <v>4</v>
      </c>
      <c r="EJ79">
        <v>3</v>
      </c>
      <c r="EK79">
        <v>746</v>
      </c>
      <c r="EL79" t="s">
        <v>157</v>
      </c>
      <c r="EM79" t="s">
        <v>158</v>
      </c>
      <c r="EO79" t="s">
        <v>4</v>
      </c>
      <c r="EQ79">
        <v>0</v>
      </c>
      <c r="ER79">
        <v>94.350000000000009</v>
      </c>
      <c r="ES79">
        <v>94.350000000000009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5</v>
      </c>
      <c r="FC79">
        <v>1</v>
      </c>
      <c r="FD79">
        <v>18</v>
      </c>
      <c r="FF79">
        <v>518.1</v>
      </c>
      <c r="FQ79">
        <v>0</v>
      </c>
      <c r="FR79">
        <f t="shared" si="98"/>
        <v>450.05</v>
      </c>
      <c r="FS79">
        <v>0</v>
      </c>
      <c r="FX79">
        <v>0</v>
      </c>
      <c r="FY79">
        <v>0</v>
      </c>
      <c r="GA79" t="s">
        <v>165</v>
      </c>
      <c r="GD79">
        <v>0</v>
      </c>
      <c r="GF79">
        <v>-641821277</v>
      </c>
      <c r="GG79">
        <v>2</v>
      </c>
      <c r="GH79">
        <v>3</v>
      </c>
      <c r="GI79">
        <v>3</v>
      </c>
      <c r="GJ79">
        <v>0</v>
      </c>
      <c r="GK79">
        <f>ROUND(R79*(R12)/100,2)</f>
        <v>0</v>
      </c>
      <c r="GL79">
        <f t="shared" si="99"/>
        <v>0</v>
      </c>
      <c r="GM79">
        <f t="shared" si="100"/>
        <v>450.05</v>
      </c>
      <c r="GN79">
        <f t="shared" si="101"/>
        <v>0</v>
      </c>
      <c r="GO79">
        <f t="shared" si="102"/>
        <v>0</v>
      </c>
      <c r="GP79">
        <f t="shared" si="103"/>
        <v>0</v>
      </c>
      <c r="GR79">
        <v>1</v>
      </c>
      <c r="GS79">
        <v>1</v>
      </c>
      <c r="GT79">
        <v>0</v>
      </c>
      <c r="GU79" t="s">
        <v>4</v>
      </c>
      <c r="GV79">
        <f t="shared" si="104"/>
        <v>0</v>
      </c>
      <c r="GW79">
        <v>1</v>
      </c>
      <c r="GX79">
        <f t="shared" si="105"/>
        <v>0</v>
      </c>
      <c r="HA79">
        <v>0</v>
      </c>
      <c r="HB79">
        <v>0</v>
      </c>
      <c r="HC79">
        <f t="shared" si="106"/>
        <v>0</v>
      </c>
      <c r="IK79">
        <v>0</v>
      </c>
    </row>
    <row r="80" spans="1:245" x14ac:dyDescent="0.25">
      <c r="A80">
        <v>17</v>
      </c>
      <c r="B80">
        <v>1</v>
      </c>
      <c r="E80" t="s">
        <v>166</v>
      </c>
      <c r="F80" t="s">
        <v>4</v>
      </c>
      <c r="G80" t="s">
        <v>167</v>
      </c>
      <c r="H80" t="s">
        <v>4</v>
      </c>
      <c r="I80">
        <v>0</v>
      </c>
      <c r="J80">
        <v>0</v>
      </c>
      <c r="O80">
        <f t="shared" si="67"/>
        <v>0</v>
      </c>
      <c r="P80">
        <f t="shared" si="68"/>
        <v>0</v>
      </c>
      <c r="Q80">
        <f t="shared" si="69"/>
        <v>0</v>
      </c>
      <c r="R80">
        <f t="shared" si="70"/>
        <v>0</v>
      </c>
      <c r="S80">
        <f t="shared" si="71"/>
        <v>0</v>
      </c>
      <c r="T80">
        <f t="shared" si="72"/>
        <v>0</v>
      </c>
      <c r="U80">
        <f t="shared" si="73"/>
        <v>0</v>
      </c>
      <c r="V80">
        <f t="shared" si="74"/>
        <v>0</v>
      </c>
      <c r="W80">
        <f t="shared" si="75"/>
        <v>0</v>
      </c>
      <c r="X80">
        <f t="shared" si="76"/>
        <v>0</v>
      </c>
      <c r="Y80">
        <f t="shared" si="77"/>
        <v>0</v>
      </c>
      <c r="AA80">
        <v>40520239</v>
      </c>
      <c r="AB80">
        <f t="shared" si="78"/>
        <v>0</v>
      </c>
      <c r="AC80">
        <f t="shared" si="79"/>
        <v>0</v>
      </c>
      <c r="AD80">
        <f t="shared" si="80"/>
        <v>0</v>
      </c>
      <c r="AE80">
        <f t="shared" si="81"/>
        <v>0</v>
      </c>
      <c r="AF80">
        <f t="shared" si="82"/>
        <v>0</v>
      </c>
      <c r="AG80">
        <f t="shared" si="83"/>
        <v>0</v>
      </c>
      <c r="AH80">
        <f t="shared" si="84"/>
        <v>0</v>
      </c>
      <c r="AI80">
        <f t="shared" si="85"/>
        <v>0</v>
      </c>
      <c r="AJ80">
        <f t="shared" si="86"/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4</v>
      </c>
      <c r="BE80" t="s">
        <v>4</v>
      </c>
      <c r="BF80" t="s">
        <v>4</v>
      </c>
      <c r="BG80" t="s">
        <v>4</v>
      </c>
      <c r="BH80">
        <v>3</v>
      </c>
      <c r="BI80">
        <v>1</v>
      </c>
      <c r="BJ80" t="s">
        <v>4</v>
      </c>
      <c r="BM80">
        <v>400002</v>
      </c>
      <c r="BN80">
        <v>0</v>
      </c>
      <c r="BO80" t="s">
        <v>4</v>
      </c>
      <c r="BP80">
        <v>0</v>
      </c>
      <c r="BQ80">
        <v>202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4</v>
      </c>
      <c r="BZ80">
        <v>0</v>
      </c>
      <c r="CA80">
        <v>0</v>
      </c>
      <c r="CE80">
        <v>30</v>
      </c>
      <c r="CF80">
        <v>0</v>
      </c>
      <c r="CG80">
        <v>0</v>
      </c>
      <c r="CM80">
        <v>0</v>
      </c>
      <c r="CN80" t="s">
        <v>4</v>
      </c>
      <c r="CO80">
        <v>0</v>
      </c>
      <c r="CP80">
        <f t="shared" si="87"/>
        <v>0</v>
      </c>
      <c r="CQ80">
        <f t="shared" si="88"/>
        <v>0</v>
      </c>
      <c r="CR80">
        <f t="shared" si="89"/>
        <v>0</v>
      </c>
      <c r="CS80">
        <f t="shared" si="90"/>
        <v>0</v>
      </c>
      <c r="CT80">
        <f t="shared" si="91"/>
        <v>0</v>
      </c>
      <c r="CU80">
        <f t="shared" si="92"/>
        <v>0</v>
      </c>
      <c r="CV80">
        <f t="shared" si="93"/>
        <v>0</v>
      </c>
      <c r="CW80">
        <f t="shared" si="94"/>
        <v>0</v>
      </c>
      <c r="CX80">
        <f t="shared" si="95"/>
        <v>0</v>
      </c>
      <c r="CY80">
        <f t="shared" si="96"/>
        <v>0</v>
      </c>
      <c r="CZ80">
        <f t="shared" si="97"/>
        <v>0</v>
      </c>
      <c r="DC80" t="s">
        <v>4</v>
      </c>
      <c r="DD80" t="s">
        <v>4</v>
      </c>
      <c r="DE80" t="s">
        <v>4</v>
      </c>
      <c r="DF80" t="s">
        <v>4</v>
      </c>
      <c r="DG80" t="s">
        <v>4</v>
      </c>
      <c r="DH80" t="s">
        <v>4</v>
      </c>
      <c r="DI80" t="s">
        <v>4</v>
      </c>
      <c r="DJ80" t="s">
        <v>4</v>
      </c>
      <c r="DK80" t="s">
        <v>4</v>
      </c>
      <c r="DL80" t="s">
        <v>4</v>
      </c>
      <c r="DM80" t="s">
        <v>4</v>
      </c>
      <c r="DN80">
        <v>0</v>
      </c>
      <c r="DO80">
        <v>0</v>
      </c>
      <c r="DP80">
        <v>1</v>
      </c>
      <c r="DQ80">
        <v>1</v>
      </c>
      <c r="EE80">
        <v>40098777</v>
      </c>
      <c r="EF80">
        <v>202</v>
      </c>
      <c r="EG80" t="s">
        <v>150</v>
      </c>
      <c r="EH80">
        <v>0</v>
      </c>
      <c r="EI80" t="s">
        <v>4</v>
      </c>
      <c r="EJ80">
        <v>1</v>
      </c>
      <c r="EK80">
        <v>400002</v>
      </c>
      <c r="EL80" t="s">
        <v>151</v>
      </c>
      <c r="EM80" t="s">
        <v>150</v>
      </c>
      <c r="EO80" t="s">
        <v>4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FQ80">
        <v>0</v>
      </c>
      <c r="FR80">
        <f t="shared" si="98"/>
        <v>0</v>
      </c>
      <c r="FS80">
        <v>0</v>
      </c>
      <c r="FX80">
        <v>0</v>
      </c>
      <c r="FY80">
        <v>0</v>
      </c>
      <c r="GA80" t="s">
        <v>4</v>
      </c>
      <c r="GD80">
        <v>0</v>
      </c>
      <c r="GF80">
        <v>-1225966286</v>
      </c>
      <c r="GG80">
        <v>2</v>
      </c>
      <c r="GH80">
        <v>0</v>
      </c>
      <c r="GI80">
        <v>-2</v>
      </c>
      <c r="GJ80">
        <v>0</v>
      </c>
      <c r="GK80">
        <f>ROUND(R80*(R12)/100,2)</f>
        <v>0</v>
      </c>
      <c r="GL80">
        <f t="shared" si="99"/>
        <v>0</v>
      </c>
      <c r="GM80">
        <f t="shared" si="100"/>
        <v>0</v>
      </c>
      <c r="GN80">
        <f t="shared" si="101"/>
        <v>0</v>
      </c>
      <c r="GO80">
        <f t="shared" si="102"/>
        <v>0</v>
      </c>
      <c r="GP80">
        <f t="shared" si="103"/>
        <v>0</v>
      </c>
      <c r="GR80">
        <v>0</v>
      </c>
      <c r="GS80">
        <v>3</v>
      </c>
      <c r="GT80">
        <v>0</v>
      </c>
      <c r="GU80" t="s">
        <v>4</v>
      </c>
      <c r="GV80">
        <f t="shared" si="104"/>
        <v>0</v>
      </c>
      <c r="GW80">
        <v>1</v>
      </c>
      <c r="GX80">
        <f t="shared" si="105"/>
        <v>0</v>
      </c>
      <c r="HA80">
        <v>0</v>
      </c>
      <c r="HB80">
        <v>0</v>
      </c>
      <c r="HC80">
        <f t="shared" si="106"/>
        <v>0</v>
      </c>
      <c r="IK80">
        <v>0</v>
      </c>
    </row>
    <row r="81" spans="1:245" x14ac:dyDescent="0.25">
      <c r="A81">
        <v>17</v>
      </c>
      <c r="B81">
        <v>1</v>
      </c>
      <c r="E81" t="s">
        <v>168</v>
      </c>
      <c r="F81" t="s">
        <v>153</v>
      </c>
      <c r="G81" t="s">
        <v>154</v>
      </c>
      <c r="H81" t="s">
        <v>155</v>
      </c>
      <c r="I81">
        <v>1</v>
      </c>
      <c r="J81">
        <v>0</v>
      </c>
      <c r="O81">
        <f t="shared" si="67"/>
        <v>12738.52</v>
      </c>
      <c r="P81">
        <f t="shared" si="68"/>
        <v>12738.52</v>
      </c>
      <c r="Q81">
        <f t="shared" si="69"/>
        <v>0</v>
      </c>
      <c r="R81">
        <f t="shared" si="70"/>
        <v>0</v>
      </c>
      <c r="S81">
        <f t="shared" si="71"/>
        <v>0</v>
      </c>
      <c r="T81">
        <f t="shared" si="72"/>
        <v>0</v>
      </c>
      <c r="U81">
        <f t="shared" si="73"/>
        <v>0</v>
      </c>
      <c r="V81">
        <f t="shared" si="74"/>
        <v>0</v>
      </c>
      <c r="W81">
        <f t="shared" si="75"/>
        <v>0</v>
      </c>
      <c r="X81">
        <f t="shared" si="76"/>
        <v>0</v>
      </c>
      <c r="Y81">
        <f t="shared" si="77"/>
        <v>0</v>
      </c>
      <c r="AA81">
        <v>40520239</v>
      </c>
      <c r="AB81">
        <f t="shared" si="78"/>
        <v>2670.55</v>
      </c>
      <c r="AC81">
        <f t="shared" si="79"/>
        <v>2670.55</v>
      </c>
      <c r="AD81">
        <f t="shared" si="80"/>
        <v>0</v>
      </c>
      <c r="AE81">
        <f t="shared" si="81"/>
        <v>0</v>
      </c>
      <c r="AF81">
        <f t="shared" si="82"/>
        <v>0</v>
      </c>
      <c r="AG81">
        <f t="shared" si="83"/>
        <v>0</v>
      </c>
      <c r="AH81">
        <f t="shared" si="84"/>
        <v>0</v>
      </c>
      <c r="AI81">
        <f t="shared" si="85"/>
        <v>0</v>
      </c>
      <c r="AJ81">
        <f t="shared" si="86"/>
        <v>0</v>
      </c>
      <c r="AK81">
        <v>2670.55</v>
      </c>
      <c r="AL81">
        <v>2670.55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4.7699999999999996</v>
      </c>
      <c r="BD81" t="s">
        <v>4</v>
      </c>
      <c r="BE81" t="s">
        <v>4</v>
      </c>
      <c r="BF81" t="s">
        <v>4</v>
      </c>
      <c r="BG81" t="s">
        <v>4</v>
      </c>
      <c r="BH81">
        <v>3</v>
      </c>
      <c r="BI81">
        <v>3</v>
      </c>
      <c r="BJ81" t="s">
        <v>4</v>
      </c>
      <c r="BM81">
        <v>746</v>
      </c>
      <c r="BN81">
        <v>0</v>
      </c>
      <c r="BO81" t="s">
        <v>4</v>
      </c>
      <c r="BP81">
        <v>0</v>
      </c>
      <c r="BQ81">
        <v>130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4</v>
      </c>
      <c r="BZ81">
        <v>0</v>
      </c>
      <c r="CA81">
        <v>0</v>
      </c>
      <c r="CE81">
        <v>30</v>
      </c>
      <c r="CF81">
        <v>0</v>
      </c>
      <c r="CG81">
        <v>0</v>
      </c>
      <c r="CM81">
        <v>0</v>
      </c>
      <c r="CN81" t="s">
        <v>4</v>
      </c>
      <c r="CO81">
        <v>0</v>
      </c>
      <c r="CP81">
        <f t="shared" si="87"/>
        <v>12738.52</v>
      </c>
      <c r="CQ81">
        <f t="shared" si="88"/>
        <v>12738.52</v>
      </c>
      <c r="CR81">
        <f t="shared" si="89"/>
        <v>0</v>
      </c>
      <c r="CS81">
        <f t="shared" si="90"/>
        <v>0</v>
      </c>
      <c r="CT81">
        <f t="shared" si="91"/>
        <v>0</v>
      </c>
      <c r="CU81">
        <f t="shared" si="92"/>
        <v>0</v>
      </c>
      <c r="CV81">
        <f t="shared" si="93"/>
        <v>0</v>
      </c>
      <c r="CW81">
        <f t="shared" si="94"/>
        <v>0</v>
      </c>
      <c r="CX81">
        <f t="shared" si="95"/>
        <v>0</v>
      </c>
      <c r="CY81">
        <f t="shared" si="96"/>
        <v>0</v>
      </c>
      <c r="CZ81">
        <f t="shared" si="97"/>
        <v>0</v>
      </c>
      <c r="DC81" t="s">
        <v>4</v>
      </c>
      <c r="DD81" t="s">
        <v>4</v>
      </c>
      <c r="DE81" t="s">
        <v>4</v>
      </c>
      <c r="DF81" t="s">
        <v>4</v>
      </c>
      <c r="DG81" t="s">
        <v>4</v>
      </c>
      <c r="DH81" t="s">
        <v>4</v>
      </c>
      <c r="DI81" t="s">
        <v>4</v>
      </c>
      <c r="DJ81" t="s">
        <v>4</v>
      </c>
      <c r="DK81" t="s">
        <v>4</v>
      </c>
      <c r="DL81" t="s">
        <v>4</v>
      </c>
      <c r="DM81" t="s">
        <v>4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155</v>
      </c>
      <c r="DW81" t="s">
        <v>155</v>
      </c>
      <c r="DX81">
        <v>1</v>
      </c>
      <c r="EE81">
        <v>40097556</v>
      </c>
      <c r="EF81">
        <v>130</v>
      </c>
      <c r="EG81" t="s">
        <v>156</v>
      </c>
      <c r="EH81">
        <v>0</v>
      </c>
      <c r="EI81" t="s">
        <v>4</v>
      </c>
      <c r="EJ81">
        <v>3</v>
      </c>
      <c r="EK81">
        <v>746</v>
      </c>
      <c r="EL81" t="s">
        <v>157</v>
      </c>
      <c r="EM81" t="s">
        <v>158</v>
      </c>
      <c r="EO81" t="s">
        <v>4</v>
      </c>
      <c r="EQ81">
        <v>0</v>
      </c>
      <c r="ER81">
        <v>2670.55</v>
      </c>
      <c r="ES81">
        <v>2670.55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5</v>
      </c>
      <c r="FC81">
        <v>1</v>
      </c>
      <c r="FD81">
        <v>18</v>
      </c>
      <c r="FF81">
        <v>14665</v>
      </c>
      <c r="FQ81">
        <v>0</v>
      </c>
      <c r="FR81">
        <f t="shared" si="98"/>
        <v>12738.52</v>
      </c>
      <c r="FS81">
        <v>0</v>
      </c>
      <c r="FX81">
        <v>0</v>
      </c>
      <c r="FY81">
        <v>0</v>
      </c>
      <c r="GA81" t="s">
        <v>159</v>
      </c>
      <c r="GD81">
        <v>0</v>
      </c>
      <c r="GF81">
        <v>-87901938</v>
      </c>
      <c r="GG81">
        <v>2</v>
      </c>
      <c r="GH81">
        <v>3</v>
      </c>
      <c r="GI81">
        <v>3</v>
      </c>
      <c r="GJ81">
        <v>0</v>
      </c>
      <c r="GK81">
        <f>ROUND(R81*(R12)/100,2)</f>
        <v>0</v>
      </c>
      <c r="GL81">
        <f t="shared" si="99"/>
        <v>0</v>
      </c>
      <c r="GM81">
        <f t="shared" si="100"/>
        <v>12738.52</v>
      </c>
      <c r="GN81">
        <f t="shared" si="101"/>
        <v>0</v>
      </c>
      <c r="GO81">
        <f t="shared" si="102"/>
        <v>0</v>
      </c>
      <c r="GP81">
        <f t="shared" si="103"/>
        <v>0</v>
      </c>
      <c r="GR81">
        <v>1</v>
      </c>
      <c r="GS81">
        <v>1</v>
      </c>
      <c r="GT81">
        <v>0</v>
      </c>
      <c r="GU81" t="s">
        <v>4</v>
      </c>
      <c r="GV81">
        <f t="shared" si="104"/>
        <v>0</v>
      </c>
      <c r="GW81">
        <v>1</v>
      </c>
      <c r="GX81">
        <f t="shared" si="105"/>
        <v>0</v>
      </c>
      <c r="HA81">
        <v>0</v>
      </c>
      <c r="HB81">
        <v>0</v>
      </c>
      <c r="HC81">
        <f t="shared" si="106"/>
        <v>0</v>
      </c>
      <c r="IK81">
        <v>0</v>
      </c>
    </row>
    <row r="82" spans="1:245" x14ac:dyDescent="0.25">
      <c r="A82">
        <v>17</v>
      </c>
      <c r="B82">
        <v>1</v>
      </c>
      <c r="E82" t="s">
        <v>169</v>
      </c>
      <c r="F82" t="s">
        <v>153</v>
      </c>
      <c r="G82" t="s">
        <v>161</v>
      </c>
      <c r="H82" t="s">
        <v>155</v>
      </c>
      <c r="I82">
        <v>1</v>
      </c>
      <c r="J82">
        <v>0</v>
      </c>
      <c r="O82">
        <f t="shared" si="67"/>
        <v>569.44000000000005</v>
      </c>
      <c r="P82">
        <f t="shared" si="68"/>
        <v>569.44000000000005</v>
      </c>
      <c r="Q82">
        <f t="shared" si="69"/>
        <v>0</v>
      </c>
      <c r="R82">
        <f t="shared" si="70"/>
        <v>0</v>
      </c>
      <c r="S82">
        <f t="shared" si="71"/>
        <v>0</v>
      </c>
      <c r="T82">
        <f t="shared" si="72"/>
        <v>0</v>
      </c>
      <c r="U82">
        <f t="shared" si="73"/>
        <v>0</v>
      </c>
      <c r="V82">
        <f t="shared" si="74"/>
        <v>0</v>
      </c>
      <c r="W82">
        <f t="shared" si="75"/>
        <v>0</v>
      </c>
      <c r="X82">
        <f t="shared" si="76"/>
        <v>0</v>
      </c>
      <c r="Y82">
        <f t="shared" si="77"/>
        <v>0</v>
      </c>
      <c r="AA82">
        <v>40520239</v>
      </c>
      <c r="AB82">
        <f t="shared" si="78"/>
        <v>119.38</v>
      </c>
      <c r="AC82">
        <f t="shared" si="79"/>
        <v>119.38</v>
      </c>
      <c r="AD82">
        <f t="shared" si="80"/>
        <v>0</v>
      </c>
      <c r="AE82">
        <f t="shared" si="81"/>
        <v>0</v>
      </c>
      <c r="AF82">
        <f t="shared" si="82"/>
        <v>0</v>
      </c>
      <c r="AG82">
        <f t="shared" si="83"/>
        <v>0</v>
      </c>
      <c r="AH82">
        <f t="shared" si="84"/>
        <v>0</v>
      </c>
      <c r="AI82">
        <f t="shared" si="85"/>
        <v>0</v>
      </c>
      <c r="AJ82">
        <f t="shared" si="86"/>
        <v>0</v>
      </c>
      <c r="AK82">
        <v>119.38</v>
      </c>
      <c r="AL82">
        <v>119.38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1</v>
      </c>
      <c r="AW82">
        <v>1</v>
      </c>
      <c r="AZ82">
        <v>1</v>
      </c>
      <c r="BA82">
        <v>1</v>
      </c>
      <c r="BB82">
        <v>1</v>
      </c>
      <c r="BC82">
        <v>4.7699999999999996</v>
      </c>
      <c r="BD82" t="s">
        <v>4</v>
      </c>
      <c r="BE82" t="s">
        <v>4</v>
      </c>
      <c r="BF82" t="s">
        <v>4</v>
      </c>
      <c r="BG82" t="s">
        <v>4</v>
      </c>
      <c r="BH82">
        <v>3</v>
      </c>
      <c r="BI82">
        <v>3</v>
      </c>
      <c r="BJ82" t="s">
        <v>4</v>
      </c>
      <c r="BM82">
        <v>746</v>
      </c>
      <c r="BN82">
        <v>0</v>
      </c>
      <c r="BO82" t="s">
        <v>4</v>
      </c>
      <c r="BP82">
        <v>0</v>
      </c>
      <c r="BQ82">
        <v>130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4</v>
      </c>
      <c r="BZ82">
        <v>0</v>
      </c>
      <c r="CA82">
        <v>0</v>
      </c>
      <c r="CE82">
        <v>30</v>
      </c>
      <c r="CF82">
        <v>0</v>
      </c>
      <c r="CG82">
        <v>0</v>
      </c>
      <c r="CM82">
        <v>0</v>
      </c>
      <c r="CN82" t="s">
        <v>4</v>
      </c>
      <c r="CO82">
        <v>0</v>
      </c>
      <c r="CP82">
        <f t="shared" si="87"/>
        <v>569.44000000000005</v>
      </c>
      <c r="CQ82">
        <f t="shared" si="88"/>
        <v>569.44000000000005</v>
      </c>
      <c r="CR82">
        <f t="shared" si="89"/>
        <v>0</v>
      </c>
      <c r="CS82">
        <f t="shared" si="90"/>
        <v>0</v>
      </c>
      <c r="CT82">
        <f t="shared" si="91"/>
        <v>0</v>
      </c>
      <c r="CU82">
        <f t="shared" si="92"/>
        <v>0</v>
      </c>
      <c r="CV82">
        <f t="shared" si="93"/>
        <v>0</v>
      </c>
      <c r="CW82">
        <f t="shared" si="94"/>
        <v>0</v>
      </c>
      <c r="CX82">
        <f t="shared" si="95"/>
        <v>0</v>
      </c>
      <c r="CY82">
        <f t="shared" si="96"/>
        <v>0</v>
      </c>
      <c r="CZ82">
        <f t="shared" si="97"/>
        <v>0</v>
      </c>
      <c r="DC82" t="s">
        <v>4</v>
      </c>
      <c r="DD82" t="s">
        <v>4</v>
      </c>
      <c r="DE82" t="s">
        <v>4</v>
      </c>
      <c r="DF82" t="s">
        <v>4</v>
      </c>
      <c r="DG82" t="s">
        <v>4</v>
      </c>
      <c r="DH82" t="s">
        <v>4</v>
      </c>
      <c r="DI82" t="s">
        <v>4</v>
      </c>
      <c r="DJ82" t="s">
        <v>4</v>
      </c>
      <c r="DK82" t="s">
        <v>4</v>
      </c>
      <c r="DL82" t="s">
        <v>4</v>
      </c>
      <c r="DM82" t="s">
        <v>4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155</v>
      </c>
      <c r="DW82" t="s">
        <v>155</v>
      </c>
      <c r="DX82">
        <v>1</v>
      </c>
      <c r="EE82">
        <v>40097556</v>
      </c>
      <c r="EF82">
        <v>130</v>
      </c>
      <c r="EG82" t="s">
        <v>156</v>
      </c>
      <c r="EH82">
        <v>0</v>
      </c>
      <c r="EI82" t="s">
        <v>4</v>
      </c>
      <c r="EJ82">
        <v>3</v>
      </c>
      <c r="EK82">
        <v>746</v>
      </c>
      <c r="EL82" t="s">
        <v>157</v>
      </c>
      <c r="EM82" t="s">
        <v>158</v>
      </c>
      <c r="EO82" t="s">
        <v>4</v>
      </c>
      <c r="EQ82">
        <v>0</v>
      </c>
      <c r="ER82">
        <v>119.38</v>
      </c>
      <c r="ES82">
        <v>119.38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5</v>
      </c>
      <c r="FC82">
        <v>1</v>
      </c>
      <c r="FD82">
        <v>18</v>
      </c>
      <c r="FF82">
        <v>655.5</v>
      </c>
      <c r="FQ82">
        <v>0</v>
      </c>
      <c r="FR82">
        <f t="shared" si="98"/>
        <v>569.44000000000005</v>
      </c>
      <c r="FS82">
        <v>0</v>
      </c>
      <c r="FX82">
        <v>0</v>
      </c>
      <c r="FY82">
        <v>0</v>
      </c>
      <c r="GA82" t="s">
        <v>162</v>
      </c>
      <c r="GD82">
        <v>0</v>
      </c>
      <c r="GF82">
        <v>1066717312</v>
      </c>
      <c r="GG82">
        <v>2</v>
      </c>
      <c r="GH82">
        <v>3</v>
      </c>
      <c r="GI82">
        <v>3</v>
      </c>
      <c r="GJ82">
        <v>0</v>
      </c>
      <c r="GK82">
        <f>ROUND(R82*(R12)/100,2)</f>
        <v>0</v>
      </c>
      <c r="GL82">
        <f t="shared" si="99"/>
        <v>0</v>
      </c>
      <c r="GM82">
        <f t="shared" si="100"/>
        <v>569.44000000000005</v>
      </c>
      <c r="GN82">
        <f t="shared" si="101"/>
        <v>0</v>
      </c>
      <c r="GO82">
        <f t="shared" si="102"/>
        <v>0</v>
      </c>
      <c r="GP82">
        <f t="shared" si="103"/>
        <v>0</v>
      </c>
      <c r="GR82">
        <v>1</v>
      </c>
      <c r="GS82">
        <v>1</v>
      </c>
      <c r="GT82">
        <v>0</v>
      </c>
      <c r="GU82" t="s">
        <v>4</v>
      </c>
      <c r="GV82">
        <f t="shared" si="104"/>
        <v>0</v>
      </c>
      <c r="GW82">
        <v>1</v>
      </c>
      <c r="GX82">
        <f t="shared" si="105"/>
        <v>0</v>
      </c>
      <c r="HA82">
        <v>0</v>
      </c>
      <c r="HB82">
        <v>0</v>
      </c>
      <c r="HC82">
        <f t="shared" si="106"/>
        <v>0</v>
      </c>
      <c r="IK82">
        <v>0</v>
      </c>
    </row>
    <row r="83" spans="1:245" x14ac:dyDescent="0.25">
      <c r="A83">
        <v>17</v>
      </c>
      <c r="B83">
        <v>1</v>
      </c>
      <c r="E83" t="s">
        <v>170</v>
      </c>
      <c r="F83" t="s">
        <v>153</v>
      </c>
      <c r="G83" t="s">
        <v>171</v>
      </c>
      <c r="H83" t="s">
        <v>155</v>
      </c>
      <c r="I83">
        <v>6</v>
      </c>
      <c r="J83">
        <v>0</v>
      </c>
      <c r="O83">
        <f t="shared" si="67"/>
        <v>11006.68</v>
      </c>
      <c r="P83">
        <f t="shared" si="68"/>
        <v>11006.68</v>
      </c>
      <c r="Q83">
        <f t="shared" si="69"/>
        <v>0</v>
      </c>
      <c r="R83">
        <f t="shared" si="70"/>
        <v>0</v>
      </c>
      <c r="S83">
        <f t="shared" si="71"/>
        <v>0</v>
      </c>
      <c r="T83">
        <f t="shared" si="72"/>
        <v>0</v>
      </c>
      <c r="U83">
        <f t="shared" si="73"/>
        <v>0</v>
      </c>
      <c r="V83">
        <f t="shared" si="74"/>
        <v>0</v>
      </c>
      <c r="W83">
        <f t="shared" si="75"/>
        <v>0</v>
      </c>
      <c r="X83">
        <f t="shared" si="76"/>
        <v>0</v>
      </c>
      <c r="Y83">
        <f t="shared" si="77"/>
        <v>0</v>
      </c>
      <c r="AA83">
        <v>40520239</v>
      </c>
      <c r="AB83">
        <f t="shared" si="78"/>
        <v>384.58</v>
      </c>
      <c r="AC83">
        <f t="shared" si="79"/>
        <v>384.58</v>
      </c>
      <c r="AD83">
        <f t="shared" si="80"/>
        <v>0</v>
      </c>
      <c r="AE83">
        <f t="shared" si="81"/>
        <v>0</v>
      </c>
      <c r="AF83">
        <f t="shared" si="82"/>
        <v>0</v>
      </c>
      <c r="AG83">
        <f t="shared" si="83"/>
        <v>0</v>
      </c>
      <c r="AH83">
        <f t="shared" si="84"/>
        <v>0</v>
      </c>
      <c r="AI83">
        <f t="shared" si="85"/>
        <v>0</v>
      </c>
      <c r="AJ83">
        <f t="shared" si="86"/>
        <v>0</v>
      </c>
      <c r="AK83">
        <v>384.58</v>
      </c>
      <c r="AL83">
        <v>384.58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4.7699999999999996</v>
      </c>
      <c r="BD83" t="s">
        <v>4</v>
      </c>
      <c r="BE83" t="s">
        <v>4</v>
      </c>
      <c r="BF83" t="s">
        <v>4</v>
      </c>
      <c r="BG83" t="s">
        <v>4</v>
      </c>
      <c r="BH83">
        <v>3</v>
      </c>
      <c r="BI83">
        <v>3</v>
      </c>
      <c r="BJ83" t="s">
        <v>4</v>
      </c>
      <c r="BM83">
        <v>746</v>
      </c>
      <c r="BN83">
        <v>0</v>
      </c>
      <c r="BO83" t="s">
        <v>4</v>
      </c>
      <c r="BP83">
        <v>0</v>
      </c>
      <c r="BQ83">
        <v>130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4</v>
      </c>
      <c r="BZ83">
        <v>0</v>
      </c>
      <c r="CA83">
        <v>0</v>
      </c>
      <c r="CE83">
        <v>30</v>
      </c>
      <c r="CF83">
        <v>0</v>
      </c>
      <c r="CG83">
        <v>0</v>
      </c>
      <c r="CM83">
        <v>0</v>
      </c>
      <c r="CN83" t="s">
        <v>4</v>
      </c>
      <c r="CO83">
        <v>0</v>
      </c>
      <c r="CP83">
        <f t="shared" si="87"/>
        <v>11006.68</v>
      </c>
      <c r="CQ83">
        <f t="shared" si="88"/>
        <v>1834.45</v>
      </c>
      <c r="CR83">
        <f t="shared" si="89"/>
        <v>0</v>
      </c>
      <c r="CS83">
        <f t="shared" si="90"/>
        <v>0</v>
      </c>
      <c r="CT83">
        <f t="shared" si="91"/>
        <v>0</v>
      </c>
      <c r="CU83">
        <f t="shared" si="92"/>
        <v>0</v>
      </c>
      <c r="CV83">
        <f t="shared" si="93"/>
        <v>0</v>
      </c>
      <c r="CW83">
        <f t="shared" si="94"/>
        <v>0</v>
      </c>
      <c r="CX83">
        <f t="shared" si="95"/>
        <v>0</v>
      </c>
      <c r="CY83">
        <f t="shared" si="96"/>
        <v>0</v>
      </c>
      <c r="CZ83">
        <f t="shared" si="97"/>
        <v>0</v>
      </c>
      <c r="DC83" t="s">
        <v>4</v>
      </c>
      <c r="DD83" t="s">
        <v>4</v>
      </c>
      <c r="DE83" t="s">
        <v>4</v>
      </c>
      <c r="DF83" t="s">
        <v>4</v>
      </c>
      <c r="DG83" t="s">
        <v>4</v>
      </c>
      <c r="DH83" t="s">
        <v>4</v>
      </c>
      <c r="DI83" t="s">
        <v>4</v>
      </c>
      <c r="DJ83" t="s">
        <v>4</v>
      </c>
      <c r="DK83" t="s">
        <v>4</v>
      </c>
      <c r="DL83" t="s">
        <v>4</v>
      </c>
      <c r="DM83" t="s">
        <v>4</v>
      </c>
      <c r="DN83">
        <v>0</v>
      </c>
      <c r="DO83">
        <v>0</v>
      </c>
      <c r="DP83">
        <v>1</v>
      </c>
      <c r="DQ83">
        <v>1</v>
      </c>
      <c r="DU83">
        <v>1013</v>
      </c>
      <c r="DV83" t="s">
        <v>155</v>
      </c>
      <c r="DW83" t="s">
        <v>155</v>
      </c>
      <c r="DX83">
        <v>1</v>
      </c>
      <c r="EE83">
        <v>40097556</v>
      </c>
      <c r="EF83">
        <v>130</v>
      </c>
      <c r="EG83" t="s">
        <v>156</v>
      </c>
      <c r="EH83">
        <v>0</v>
      </c>
      <c r="EI83" t="s">
        <v>4</v>
      </c>
      <c r="EJ83">
        <v>3</v>
      </c>
      <c r="EK83">
        <v>746</v>
      </c>
      <c r="EL83" t="s">
        <v>157</v>
      </c>
      <c r="EM83" t="s">
        <v>158</v>
      </c>
      <c r="EO83" t="s">
        <v>4</v>
      </c>
      <c r="EQ83">
        <v>0</v>
      </c>
      <c r="ER83">
        <v>384.58</v>
      </c>
      <c r="ES83">
        <v>384.58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5</v>
      </c>
      <c r="FC83">
        <v>1</v>
      </c>
      <c r="FD83">
        <v>18</v>
      </c>
      <c r="FF83">
        <v>2111.89</v>
      </c>
      <c r="FQ83">
        <v>0</v>
      </c>
      <c r="FR83">
        <f t="shared" si="98"/>
        <v>11006.68</v>
      </c>
      <c r="FS83">
        <v>0</v>
      </c>
      <c r="FX83">
        <v>0</v>
      </c>
      <c r="FY83">
        <v>0</v>
      </c>
      <c r="GA83" t="s">
        <v>172</v>
      </c>
      <c r="GD83">
        <v>0</v>
      </c>
      <c r="GF83">
        <v>-1880681493</v>
      </c>
      <c r="GG83">
        <v>2</v>
      </c>
      <c r="GH83">
        <v>3</v>
      </c>
      <c r="GI83">
        <v>3</v>
      </c>
      <c r="GJ83">
        <v>0</v>
      </c>
      <c r="GK83">
        <f>ROUND(R83*(R12)/100,2)</f>
        <v>0</v>
      </c>
      <c r="GL83">
        <f t="shared" si="99"/>
        <v>0</v>
      </c>
      <c r="GM83">
        <f t="shared" si="100"/>
        <v>11006.68</v>
      </c>
      <c r="GN83">
        <f t="shared" si="101"/>
        <v>0</v>
      </c>
      <c r="GO83">
        <f t="shared" si="102"/>
        <v>0</v>
      </c>
      <c r="GP83">
        <f t="shared" si="103"/>
        <v>0</v>
      </c>
      <c r="GR83">
        <v>1</v>
      </c>
      <c r="GS83">
        <v>1</v>
      </c>
      <c r="GT83">
        <v>0</v>
      </c>
      <c r="GU83" t="s">
        <v>4</v>
      </c>
      <c r="GV83">
        <f t="shared" si="104"/>
        <v>0</v>
      </c>
      <c r="GW83">
        <v>1</v>
      </c>
      <c r="GX83">
        <f t="shared" si="105"/>
        <v>0</v>
      </c>
      <c r="HA83">
        <v>0</v>
      </c>
      <c r="HB83">
        <v>0</v>
      </c>
      <c r="HC83">
        <f t="shared" si="106"/>
        <v>0</v>
      </c>
      <c r="IK83">
        <v>0</v>
      </c>
    </row>
    <row r="84" spans="1:245" x14ac:dyDescent="0.25">
      <c r="A84">
        <v>17</v>
      </c>
      <c r="B84">
        <v>1</v>
      </c>
      <c r="E84" t="s">
        <v>173</v>
      </c>
      <c r="F84" t="s">
        <v>153</v>
      </c>
      <c r="G84" t="s">
        <v>174</v>
      </c>
      <c r="H84" t="s">
        <v>155</v>
      </c>
      <c r="I84">
        <v>1</v>
      </c>
      <c r="J84">
        <v>0</v>
      </c>
      <c r="O84">
        <f t="shared" si="67"/>
        <v>96982.92</v>
      </c>
      <c r="P84">
        <f t="shared" si="68"/>
        <v>96982.92</v>
      </c>
      <c r="Q84">
        <f t="shared" si="69"/>
        <v>0</v>
      </c>
      <c r="R84">
        <f t="shared" si="70"/>
        <v>0</v>
      </c>
      <c r="S84">
        <f t="shared" si="71"/>
        <v>0</v>
      </c>
      <c r="T84">
        <f t="shared" si="72"/>
        <v>0</v>
      </c>
      <c r="U84">
        <f t="shared" si="73"/>
        <v>0</v>
      </c>
      <c r="V84">
        <f t="shared" si="74"/>
        <v>0</v>
      </c>
      <c r="W84">
        <f t="shared" si="75"/>
        <v>0</v>
      </c>
      <c r="X84">
        <f t="shared" si="76"/>
        <v>0</v>
      </c>
      <c r="Y84">
        <f t="shared" si="77"/>
        <v>0</v>
      </c>
      <c r="AA84">
        <v>40520239</v>
      </c>
      <c r="AB84">
        <f t="shared" si="78"/>
        <v>20331.849999999999</v>
      </c>
      <c r="AC84">
        <f t="shared" si="79"/>
        <v>20331.849999999999</v>
      </c>
      <c r="AD84">
        <f t="shared" si="80"/>
        <v>0</v>
      </c>
      <c r="AE84">
        <f t="shared" si="81"/>
        <v>0</v>
      </c>
      <c r="AF84">
        <f t="shared" si="82"/>
        <v>0</v>
      </c>
      <c r="AG84">
        <f t="shared" si="83"/>
        <v>0</v>
      </c>
      <c r="AH84">
        <f t="shared" si="84"/>
        <v>0</v>
      </c>
      <c r="AI84">
        <f t="shared" si="85"/>
        <v>0</v>
      </c>
      <c r="AJ84">
        <f t="shared" si="86"/>
        <v>0</v>
      </c>
      <c r="AK84">
        <v>20331.849999999999</v>
      </c>
      <c r="AL84">
        <v>20331.849999999999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4.7699999999999996</v>
      </c>
      <c r="BD84" t="s">
        <v>4</v>
      </c>
      <c r="BE84" t="s">
        <v>4</v>
      </c>
      <c r="BF84" t="s">
        <v>4</v>
      </c>
      <c r="BG84" t="s">
        <v>4</v>
      </c>
      <c r="BH84">
        <v>3</v>
      </c>
      <c r="BI84">
        <v>3</v>
      </c>
      <c r="BJ84" t="s">
        <v>4</v>
      </c>
      <c r="BM84">
        <v>746</v>
      </c>
      <c r="BN84">
        <v>0</v>
      </c>
      <c r="BO84" t="s">
        <v>4</v>
      </c>
      <c r="BP84">
        <v>0</v>
      </c>
      <c r="BQ84">
        <v>130</v>
      </c>
      <c r="BR84">
        <v>0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4</v>
      </c>
      <c r="BZ84">
        <v>0</v>
      </c>
      <c r="CA84">
        <v>0</v>
      </c>
      <c r="CE84">
        <v>30</v>
      </c>
      <c r="CF84">
        <v>0</v>
      </c>
      <c r="CG84">
        <v>0</v>
      </c>
      <c r="CM84">
        <v>0</v>
      </c>
      <c r="CN84" t="s">
        <v>4</v>
      </c>
      <c r="CO84">
        <v>0</v>
      </c>
      <c r="CP84">
        <f t="shared" si="87"/>
        <v>96982.92</v>
      </c>
      <c r="CQ84">
        <f t="shared" si="88"/>
        <v>96982.92</v>
      </c>
      <c r="CR84">
        <f t="shared" si="89"/>
        <v>0</v>
      </c>
      <c r="CS84">
        <f t="shared" si="90"/>
        <v>0</v>
      </c>
      <c r="CT84">
        <f t="shared" si="91"/>
        <v>0</v>
      </c>
      <c r="CU84">
        <f t="shared" si="92"/>
        <v>0</v>
      </c>
      <c r="CV84">
        <f t="shared" si="93"/>
        <v>0</v>
      </c>
      <c r="CW84">
        <f t="shared" si="94"/>
        <v>0</v>
      </c>
      <c r="CX84">
        <f t="shared" si="95"/>
        <v>0</v>
      </c>
      <c r="CY84">
        <f t="shared" si="96"/>
        <v>0</v>
      </c>
      <c r="CZ84">
        <f t="shared" si="97"/>
        <v>0</v>
      </c>
      <c r="DC84" t="s">
        <v>4</v>
      </c>
      <c r="DD84" t="s">
        <v>4</v>
      </c>
      <c r="DE84" t="s">
        <v>4</v>
      </c>
      <c r="DF84" t="s">
        <v>4</v>
      </c>
      <c r="DG84" t="s">
        <v>4</v>
      </c>
      <c r="DH84" t="s">
        <v>4</v>
      </c>
      <c r="DI84" t="s">
        <v>4</v>
      </c>
      <c r="DJ84" t="s">
        <v>4</v>
      </c>
      <c r="DK84" t="s">
        <v>4</v>
      </c>
      <c r="DL84" t="s">
        <v>4</v>
      </c>
      <c r="DM84" t="s">
        <v>4</v>
      </c>
      <c r="DN84">
        <v>0</v>
      </c>
      <c r="DO84">
        <v>0</v>
      </c>
      <c r="DP84">
        <v>1</v>
      </c>
      <c r="DQ84">
        <v>1</v>
      </c>
      <c r="DU84">
        <v>1013</v>
      </c>
      <c r="DV84" t="s">
        <v>155</v>
      </c>
      <c r="DW84" t="s">
        <v>155</v>
      </c>
      <c r="DX84">
        <v>1</v>
      </c>
      <c r="EE84">
        <v>40097556</v>
      </c>
      <c r="EF84">
        <v>130</v>
      </c>
      <c r="EG84" t="s">
        <v>156</v>
      </c>
      <c r="EH84">
        <v>0</v>
      </c>
      <c r="EI84" t="s">
        <v>4</v>
      </c>
      <c r="EJ84">
        <v>3</v>
      </c>
      <c r="EK84">
        <v>746</v>
      </c>
      <c r="EL84" t="s">
        <v>157</v>
      </c>
      <c r="EM84" t="s">
        <v>158</v>
      </c>
      <c r="EO84" t="s">
        <v>4</v>
      </c>
      <c r="EQ84">
        <v>0</v>
      </c>
      <c r="ER84">
        <v>20331.849999999999</v>
      </c>
      <c r="ES84">
        <v>20331.849999999999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5</v>
      </c>
      <c r="FC84">
        <v>1</v>
      </c>
      <c r="FD84">
        <v>18</v>
      </c>
      <c r="FF84">
        <v>111650</v>
      </c>
      <c r="FQ84">
        <v>0</v>
      </c>
      <c r="FR84">
        <f t="shared" si="98"/>
        <v>96982.92</v>
      </c>
      <c r="FS84">
        <v>0</v>
      </c>
      <c r="FX84">
        <v>0</v>
      </c>
      <c r="FY84">
        <v>0</v>
      </c>
      <c r="GA84" t="s">
        <v>175</v>
      </c>
      <c r="GD84">
        <v>0</v>
      </c>
      <c r="GF84">
        <v>993180658</v>
      </c>
      <c r="GG84">
        <v>2</v>
      </c>
      <c r="GH84">
        <v>3</v>
      </c>
      <c r="GI84">
        <v>3</v>
      </c>
      <c r="GJ84">
        <v>0</v>
      </c>
      <c r="GK84">
        <f>ROUND(R84*(R12)/100,2)</f>
        <v>0</v>
      </c>
      <c r="GL84">
        <f t="shared" si="99"/>
        <v>0</v>
      </c>
      <c r="GM84">
        <f t="shared" si="100"/>
        <v>96982.92</v>
      </c>
      <c r="GN84">
        <f t="shared" si="101"/>
        <v>0</v>
      </c>
      <c r="GO84">
        <f t="shared" si="102"/>
        <v>0</v>
      </c>
      <c r="GP84">
        <f t="shared" si="103"/>
        <v>0</v>
      </c>
      <c r="GR84">
        <v>1</v>
      </c>
      <c r="GS84">
        <v>1</v>
      </c>
      <c r="GT84">
        <v>0</v>
      </c>
      <c r="GU84" t="s">
        <v>4</v>
      </c>
      <c r="GV84">
        <f t="shared" si="104"/>
        <v>0</v>
      </c>
      <c r="GW84">
        <v>1</v>
      </c>
      <c r="GX84">
        <f t="shared" si="105"/>
        <v>0</v>
      </c>
      <c r="HA84">
        <v>0</v>
      </c>
      <c r="HB84">
        <v>0</v>
      </c>
      <c r="HC84">
        <f t="shared" si="106"/>
        <v>0</v>
      </c>
      <c r="IK84">
        <v>0</v>
      </c>
    </row>
    <row r="85" spans="1:245" x14ac:dyDescent="0.25">
      <c r="A85">
        <v>17</v>
      </c>
      <c r="B85">
        <v>1</v>
      </c>
      <c r="E85" t="s">
        <v>176</v>
      </c>
      <c r="F85" t="s">
        <v>153</v>
      </c>
      <c r="G85" t="s">
        <v>177</v>
      </c>
      <c r="H85" t="s">
        <v>155</v>
      </c>
      <c r="I85">
        <v>1</v>
      </c>
      <c r="J85">
        <v>0</v>
      </c>
      <c r="O85">
        <f t="shared" si="67"/>
        <v>88861.19</v>
      </c>
      <c r="P85">
        <f t="shared" si="68"/>
        <v>88861.19</v>
      </c>
      <c r="Q85">
        <f t="shared" si="69"/>
        <v>0</v>
      </c>
      <c r="R85">
        <f t="shared" si="70"/>
        <v>0</v>
      </c>
      <c r="S85">
        <f t="shared" si="71"/>
        <v>0</v>
      </c>
      <c r="T85">
        <f t="shared" si="72"/>
        <v>0</v>
      </c>
      <c r="U85">
        <f t="shared" si="73"/>
        <v>0</v>
      </c>
      <c r="V85">
        <f t="shared" si="74"/>
        <v>0</v>
      </c>
      <c r="W85">
        <f t="shared" si="75"/>
        <v>0</v>
      </c>
      <c r="X85">
        <f t="shared" si="76"/>
        <v>0</v>
      </c>
      <c r="Y85">
        <f t="shared" si="77"/>
        <v>0</v>
      </c>
      <c r="AA85">
        <v>40520239</v>
      </c>
      <c r="AB85">
        <f t="shared" si="78"/>
        <v>18629.18</v>
      </c>
      <c r="AC85">
        <f t="shared" si="79"/>
        <v>18629.18</v>
      </c>
      <c r="AD85">
        <f t="shared" si="80"/>
        <v>0</v>
      </c>
      <c r="AE85">
        <f t="shared" si="81"/>
        <v>0</v>
      </c>
      <c r="AF85">
        <f t="shared" si="82"/>
        <v>0</v>
      </c>
      <c r="AG85">
        <f t="shared" si="83"/>
        <v>0</v>
      </c>
      <c r="AH85">
        <f t="shared" si="84"/>
        <v>0</v>
      </c>
      <c r="AI85">
        <f t="shared" si="85"/>
        <v>0</v>
      </c>
      <c r="AJ85">
        <f t="shared" si="86"/>
        <v>0</v>
      </c>
      <c r="AK85">
        <v>18629.18</v>
      </c>
      <c r="AL85">
        <v>18629.18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4.7699999999999996</v>
      </c>
      <c r="BD85" t="s">
        <v>4</v>
      </c>
      <c r="BE85" t="s">
        <v>4</v>
      </c>
      <c r="BF85" t="s">
        <v>4</v>
      </c>
      <c r="BG85" t="s">
        <v>4</v>
      </c>
      <c r="BH85">
        <v>3</v>
      </c>
      <c r="BI85">
        <v>3</v>
      </c>
      <c r="BJ85" t="s">
        <v>4</v>
      </c>
      <c r="BM85">
        <v>746</v>
      </c>
      <c r="BN85">
        <v>0</v>
      </c>
      <c r="BO85" t="s">
        <v>4</v>
      </c>
      <c r="BP85">
        <v>0</v>
      </c>
      <c r="BQ85">
        <v>130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4</v>
      </c>
      <c r="BZ85">
        <v>0</v>
      </c>
      <c r="CA85">
        <v>0</v>
      </c>
      <c r="CE85">
        <v>30</v>
      </c>
      <c r="CF85">
        <v>0</v>
      </c>
      <c r="CG85">
        <v>0</v>
      </c>
      <c r="CM85">
        <v>0</v>
      </c>
      <c r="CN85" t="s">
        <v>4</v>
      </c>
      <c r="CO85">
        <v>0</v>
      </c>
      <c r="CP85">
        <f t="shared" si="87"/>
        <v>88861.19</v>
      </c>
      <c r="CQ85">
        <f t="shared" si="88"/>
        <v>88861.19</v>
      </c>
      <c r="CR85">
        <f t="shared" si="89"/>
        <v>0</v>
      </c>
      <c r="CS85">
        <f t="shared" si="90"/>
        <v>0</v>
      </c>
      <c r="CT85">
        <f t="shared" si="91"/>
        <v>0</v>
      </c>
      <c r="CU85">
        <f t="shared" si="92"/>
        <v>0</v>
      </c>
      <c r="CV85">
        <f t="shared" si="93"/>
        <v>0</v>
      </c>
      <c r="CW85">
        <f t="shared" si="94"/>
        <v>0</v>
      </c>
      <c r="CX85">
        <f t="shared" si="95"/>
        <v>0</v>
      </c>
      <c r="CY85">
        <f t="shared" si="96"/>
        <v>0</v>
      </c>
      <c r="CZ85">
        <f t="shared" si="97"/>
        <v>0</v>
      </c>
      <c r="DC85" t="s">
        <v>4</v>
      </c>
      <c r="DD85" t="s">
        <v>4</v>
      </c>
      <c r="DE85" t="s">
        <v>4</v>
      </c>
      <c r="DF85" t="s">
        <v>4</v>
      </c>
      <c r="DG85" t="s">
        <v>4</v>
      </c>
      <c r="DH85" t="s">
        <v>4</v>
      </c>
      <c r="DI85" t="s">
        <v>4</v>
      </c>
      <c r="DJ85" t="s">
        <v>4</v>
      </c>
      <c r="DK85" t="s">
        <v>4</v>
      </c>
      <c r="DL85" t="s">
        <v>4</v>
      </c>
      <c r="DM85" t="s">
        <v>4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155</v>
      </c>
      <c r="DW85" t="s">
        <v>155</v>
      </c>
      <c r="DX85">
        <v>1</v>
      </c>
      <c r="EE85">
        <v>40097556</v>
      </c>
      <c r="EF85">
        <v>130</v>
      </c>
      <c r="EG85" t="s">
        <v>156</v>
      </c>
      <c r="EH85">
        <v>0</v>
      </c>
      <c r="EI85" t="s">
        <v>4</v>
      </c>
      <c r="EJ85">
        <v>3</v>
      </c>
      <c r="EK85">
        <v>746</v>
      </c>
      <c r="EL85" t="s">
        <v>157</v>
      </c>
      <c r="EM85" t="s">
        <v>158</v>
      </c>
      <c r="EO85" t="s">
        <v>4</v>
      </c>
      <c r="EQ85">
        <v>0</v>
      </c>
      <c r="ER85">
        <v>18629.18</v>
      </c>
      <c r="ES85">
        <v>18629.18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5</v>
      </c>
      <c r="FC85">
        <v>1</v>
      </c>
      <c r="FD85">
        <v>18</v>
      </c>
      <c r="FF85">
        <v>102300</v>
      </c>
      <c r="FQ85">
        <v>0</v>
      </c>
      <c r="FR85">
        <f t="shared" si="98"/>
        <v>88861.19</v>
      </c>
      <c r="FS85">
        <v>0</v>
      </c>
      <c r="FX85">
        <v>0</v>
      </c>
      <c r="FY85">
        <v>0</v>
      </c>
      <c r="GA85" t="s">
        <v>178</v>
      </c>
      <c r="GD85">
        <v>0</v>
      </c>
      <c r="GF85">
        <v>-130844531</v>
      </c>
      <c r="GG85">
        <v>2</v>
      </c>
      <c r="GH85">
        <v>3</v>
      </c>
      <c r="GI85">
        <v>3</v>
      </c>
      <c r="GJ85">
        <v>0</v>
      </c>
      <c r="GK85">
        <f>ROUND(R85*(R12)/100,2)</f>
        <v>0</v>
      </c>
      <c r="GL85">
        <f t="shared" si="99"/>
        <v>0</v>
      </c>
      <c r="GM85">
        <f t="shared" si="100"/>
        <v>88861.19</v>
      </c>
      <c r="GN85">
        <f t="shared" si="101"/>
        <v>0</v>
      </c>
      <c r="GO85">
        <f t="shared" si="102"/>
        <v>0</v>
      </c>
      <c r="GP85">
        <f t="shared" si="103"/>
        <v>0</v>
      </c>
      <c r="GR85">
        <v>1</v>
      </c>
      <c r="GS85">
        <v>1</v>
      </c>
      <c r="GT85">
        <v>0</v>
      </c>
      <c r="GU85" t="s">
        <v>4</v>
      </c>
      <c r="GV85">
        <f t="shared" si="104"/>
        <v>0</v>
      </c>
      <c r="GW85">
        <v>1</v>
      </c>
      <c r="GX85">
        <f t="shared" si="105"/>
        <v>0</v>
      </c>
      <c r="HA85">
        <v>0</v>
      </c>
      <c r="HB85">
        <v>0</v>
      </c>
      <c r="HC85">
        <f t="shared" si="106"/>
        <v>0</v>
      </c>
      <c r="IK85">
        <v>0</v>
      </c>
    </row>
    <row r="86" spans="1:245" x14ac:dyDescent="0.25">
      <c r="A86">
        <v>17</v>
      </c>
      <c r="B86">
        <v>1</v>
      </c>
      <c r="E86" t="s">
        <v>179</v>
      </c>
      <c r="F86" t="s">
        <v>153</v>
      </c>
      <c r="G86" t="s">
        <v>180</v>
      </c>
      <c r="H86" t="s">
        <v>155</v>
      </c>
      <c r="I86">
        <v>1</v>
      </c>
      <c r="J86">
        <v>0</v>
      </c>
      <c r="O86">
        <f t="shared" si="67"/>
        <v>35961.410000000003</v>
      </c>
      <c r="P86">
        <f t="shared" si="68"/>
        <v>35961.410000000003</v>
      </c>
      <c r="Q86">
        <f t="shared" si="69"/>
        <v>0</v>
      </c>
      <c r="R86">
        <f t="shared" si="70"/>
        <v>0</v>
      </c>
      <c r="S86">
        <f t="shared" si="71"/>
        <v>0</v>
      </c>
      <c r="T86">
        <f t="shared" si="72"/>
        <v>0</v>
      </c>
      <c r="U86">
        <f t="shared" si="73"/>
        <v>0</v>
      </c>
      <c r="V86">
        <f t="shared" si="74"/>
        <v>0</v>
      </c>
      <c r="W86">
        <f t="shared" si="75"/>
        <v>0</v>
      </c>
      <c r="X86">
        <f t="shared" si="76"/>
        <v>0</v>
      </c>
      <c r="Y86">
        <f t="shared" si="77"/>
        <v>0</v>
      </c>
      <c r="AA86">
        <v>40520239</v>
      </c>
      <c r="AB86">
        <f t="shared" si="78"/>
        <v>7539.08</v>
      </c>
      <c r="AC86">
        <f t="shared" si="79"/>
        <v>7539.08</v>
      </c>
      <c r="AD86">
        <f t="shared" si="80"/>
        <v>0</v>
      </c>
      <c r="AE86">
        <f t="shared" si="81"/>
        <v>0</v>
      </c>
      <c r="AF86">
        <f t="shared" si="82"/>
        <v>0</v>
      </c>
      <c r="AG86">
        <f t="shared" si="83"/>
        <v>0</v>
      </c>
      <c r="AH86">
        <f t="shared" si="84"/>
        <v>0</v>
      </c>
      <c r="AI86">
        <f t="shared" si="85"/>
        <v>0</v>
      </c>
      <c r="AJ86">
        <f t="shared" si="86"/>
        <v>0</v>
      </c>
      <c r="AK86">
        <v>7539.079999999999</v>
      </c>
      <c r="AL86">
        <v>7539.079999999999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4.7699999999999996</v>
      </c>
      <c r="BD86" t="s">
        <v>4</v>
      </c>
      <c r="BE86" t="s">
        <v>4</v>
      </c>
      <c r="BF86" t="s">
        <v>4</v>
      </c>
      <c r="BG86" t="s">
        <v>4</v>
      </c>
      <c r="BH86">
        <v>3</v>
      </c>
      <c r="BI86">
        <v>3</v>
      </c>
      <c r="BJ86" t="s">
        <v>4</v>
      </c>
      <c r="BM86">
        <v>746</v>
      </c>
      <c r="BN86">
        <v>0</v>
      </c>
      <c r="BO86" t="s">
        <v>4</v>
      </c>
      <c r="BP86">
        <v>0</v>
      </c>
      <c r="BQ86">
        <v>130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4</v>
      </c>
      <c r="BZ86">
        <v>0</v>
      </c>
      <c r="CA86">
        <v>0</v>
      </c>
      <c r="CE86">
        <v>30</v>
      </c>
      <c r="CF86">
        <v>0</v>
      </c>
      <c r="CG86">
        <v>0</v>
      </c>
      <c r="CM86">
        <v>0</v>
      </c>
      <c r="CN86" t="s">
        <v>4</v>
      </c>
      <c r="CO86">
        <v>0</v>
      </c>
      <c r="CP86">
        <f t="shared" si="87"/>
        <v>35961.410000000003</v>
      </c>
      <c r="CQ86">
        <f t="shared" si="88"/>
        <v>35961.410000000003</v>
      </c>
      <c r="CR86">
        <f t="shared" si="89"/>
        <v>0</v>
      </c>
      <c r="CS86">
        <f t="shared" si="90"/>
        <v>0</v>
      </c>
      <c r="CT86">
        <f t="shared" si="91"/>
        <v>0</v>
      </c>
      <c r="CU86">
        <f t="shared" si="92"/>
        <v>0</v>
      </c>
      <c r="CV86">
        <f t="shared" si="93"/>
        <v>0</v>
      </c>
      <c r="CW86">
        <f t="shared" si="94"/>
        <v>0</v>
      </c>
      <c r="CX86">
        <f t="shared" si="95"/>
        <v>0</v>
      </c>
      <c r="CY86">
        <f t="shared" si="96"/>
        <v>0</v>
      </c>
      <c r="CZ86">
        <f t="shared" si="97"/>
        <v>0</v>
      </c>
      <c r="DC86" t="s">
        <v>4</v>
      </c>
      <c r="DD86" t="s">
        <v>4</v>
      </c>
      <c r="DE86" t="s">
        <v>4</v>
      </c>
      <c r="DF86" t="s">
        <v>4</v>
      </c>
      <c r="DG86" t="s">
        <v>4</v>
      </c>
      <c r="DH86" t="s">
        <v>4</v>
      </c>
      <c r="DI86" t="s">
        <v>4</v>
      </c>
      <c r="DJ86" t="s">
        <v>4</v>
      </c>
      <c r="DK86" t="s">
        <v>4</v>
      </c>
      <c r="DL86" t="s">
        <v>4</v>
      </c>
      <c r="DM86" t="s">
        <v>4</v>
      </c>
      <c r="DN86">
        <v>0</v>
      </c>
      <c r="DO86">
        <v>0</v>
      </c>
      <c r="DP86">
        <v>1</v>
      </c>
      <c r="DQ86">
        <v>1</v>
      </c>
      <c r="DU86">
        <v>1013</v>
      </c>
      <c r="DV86" t="s">
        <v>155</v>
      </c>
      <c r="DW86" t="s">
        <v>155</v>
      </c>
      <c r="DX86">
        <v>1</v>
      </c>
      <c r="EE86">
        <v>40097556</v>
      </c>
      <c r="EF86">
        <v>130</v>
      </c>
      <c r="EG86" t="s">
        <v>156</v>
      </c>
      <c r="EH86">
        <v>0</v>
      </c>
      <c r="EI86" t="s">
        <v>4</v>
      </c>
      <c r="EJ86">
        <v>3</v>
      </c>
      <c r="EK86">
        <v>746</v>
      </c>
      <c r="EL86" t="s">
        <v>157</v>
      </c>
      <c r="EM86" t="s">
        <v>158</v>
      </c>
      <c r="EO86" t="s">
        <v>4</v>
      </c>
      <c r="EQ86">
        <v>0</v>
      </c>
      <c r="ER86">
        <v>7539.079999999999</v>
      </c>
      <c r="ES86">
        <v>7539.079999999999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5</v>
      </c>
      <c r="FC86">
        <v>1</v>
      </c>
      <c r="FD86">
        <v>18</v>
      </c>
      <c r="FF86">
        <v>41400</v>
      </c>
      <c r="FQ86">
        <v>0</v>
      </c>
      <c r="FR86">
        <f t="shared" si="98"/>
        <v>35961.410000000003</v>
      </c>
      <c r="FS86">
        <v>0</v>
      </c>
      <c r="FX86">
        <v>0</v>
      </c>
      <c r="FY86">
        <v>0</v>
      </c>
      <c r="GA86" t="s">
        <v>181</v>
      </c>
      <c r="GD86">
        <v>0</v>
      </c>
      <c r="GF86">
        <v>-756337962</v>
      </c>
      <c r="GG86">
        <v>2</v>
      </c>
      <c r="GH86">
        <v>3</v>
      </c>
      <c r="GI86">
        <v>3</v>
      </c>
      <c r="GJ86">
        <v>0</v>
      </c>
      <c r="GK86">
        <f>ROUND(R86*(R12)/100,2)</f>
        <v>0</v>
      </c>
      <c r="GL86">
        <f t="shared" si="99"/>
        <v>0</v>
      </c>
      <c r="GM86">
        <f t="shared" si="100"/>
        <v>35961.410000000003</v>
      </c>
      <c r="GN86">
        <f t="shared" si="101"/>
        <v>0</v>
      </c>
      <c r="GO86">
        <f t="shared" si="102"/>
        <v>0</v>
      </c>
      <c r="GP86">
        <f t="shared" si="103"/>
        <v>0</v>
      </c>
      <c r="GR86">
        <v>1</v>
      </c>
      <c r="GS86">
        <v>1</v>
      </c>
      <c r="GT86">
        <v>0</v>
      </c>
      <c r="GU86" t="s">
        <v>4</v>
      </c>
      <c r="GV86">
        <f t="shared" si="104"/>
        <v>0</v>
      </c>
      <c r="GW86">
        <v>1</v>
      </c>
      <c r="GX86">
        <f t="shared" si="105"/>
        <v>0</v>
      </c>
      <c r="HA86">
        <v>0</v>
      </c>
      <c r="HB86">
        <v>0</v>
      </c>
      <c r="HC86">
        <f t="shared" si="106"/>
        <v>0</v>
      </c>
      <c r="IK86">
        <v>0</v>
      </c>
    </row>
    <row r="87" spans="1:245" x14ac:dyDescent="0.25">
      <c r="A87">
        <v>17</v>
      </c>
      <c r="B87">
        <v>1</v>
      </c>
      <c r="E87" t="s">
        <v>182</v>
      </c>
      <c r="F87" t="s">
        <v>153</v>
      </c>
      <c r="G87" t="s">
        <v>183</v>
      </c>
      <c r="H87" t="s">
        <v>155</v>
      </c>
      <c r="I87">
        <v>1</v>
      </c>
      <c r="J87">
        <v>0</v>
      </c>
      <c r="O87">
        <f t="shared" si="67"/>
        <v>119999.99</v>
      </c>
      <c r="P87">
        <f t="shared" si="68"/>
        <v>119999.99</v>
      </c>
      <c r="Q87">
        <f t="shared" si="69"/>
        <v>0</v>
      </c>
      <c r="R87">
        <f t="shared" si="70"/>
        <v>0</v>
      </c>
      <c r="S87">
        <f t="shared" si="71"/>
        <v>0</v>
      </c>
      <c r="T87">
        <f t="shared" si="72"/>
        <v>0</v>
      </c>
      <c r="U87">
        <f t="shared" si="73"/>
        <v>0</v>
      </c>
      <c r="V87">
        <f t="shared" si="74"/>
        <v>0</v>
      </c>
      <c r="W87">
        <f t="shared" si="75"/>
        <v>0</v>
      </c>
      <c r="X87">
        <f t="shared" si="76"/>
        <v>0</v>
      </c>
      <c r="Y87">
        <f t="shared" si="77"/>
        <v>0</v>
      </c>
      <c r="AA87">
        <v>40520239</v>
      </c>
      <c r="AB87">
        <f t="shared" si="78"/>
        <v>25157.23</v>
      </c>
      <c r="AC87">
        <f t="shared" si="79"/>
        <v>25157.23</v>
      </c>
      <c r="AD87">
        <f t="shared" si="80"/>
        <v>0</v>
      </c>
      <c r="AE87">
        <f t="shared" si="81"/>
        <v>0</v>
      </c>
      <c r="AF87">
        <f t="shared" si="82"/>
        <v>0</v>
      </c>
      <c r="AG87">
        <f t="shared" si="83"/>
        <v>0</v>
      </c>
      <c r="AH87">
        <f t="shared" si="84"/>
        <v>0</v>
      </c>
      <c r="AI87">
        <f t="shared" si="85"/>
        <v>0</v>
      </c>
      <c r="AJ87">
        <f t="shared" si="86"/>
        <v>0</v>
      </c>
      <c r="AK87">
        <v>25157.23</v>
      </c>
      <c r="AL87">
        <v>25157.23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4.7699999999999996</v>
      </c>
      <c r="BD87" t="s">
        <v>4</v>
      </c>
      <c r="BE87" t="s">
        <v>4</v>
      </c>
      <c r="BF87" t="s">
        <v>4</v>
      </c>
      <c r="BG87" t="s">
        <v>4</v>
      </c>
      <c r="BH87">
        <v>3</v>
      </c>
      <c r="BI87">
        <v>3</v>
      </c>
      <c r="BJ87" t="s">
        <v>4</v>
      </c>
      <c r="BM87">
        <v>746</v>
      </c>
      <c r="BN87">
        <v>0</v>
      </c>
      <c r="BO87" t="s">
        <v>4</v>
      </c>
      <c r="BP87">
        <v>0</v>
      </c>
      <c r="BQ87">
        <v>130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4</v>
      </c>
      <c r="BZ87">
        <v>0</v>
      </c>
      <c r="CA87">
        <v>0</v>
      </c>
      <c r="CE87">
        <v>30</v>
      </c>
      <c r="CF87">
        <v>0</v>
      </c>
      <c r="CG87">
        <v>0</v>
      </c>
      <c r="CM87">
        <v>0</v>
      </c>
      <c r="CN87" t="s">
        <v>4</v>
      </c>
      <c r="CO87">
        <v>0</v>
      </c>
      <c r="CP87">
        <f t="shared" si="87"/>
        <v>119999.99</v>
      </c>
      <c r="CQ87">
        <f t="shared" si="88"/>
        <v>119999.99</v>
      </c>
      <c r="CR87">
        <f t="shared" si="89"/>
        <v>0</v>
      </c>
      <c r="CS87">
        <f t="shared" si="90"/>
        <v>0</v>
      </c>
      <c r="CT87">
        <f t="shared" si="91"/>
        <v>0</v>
      </c>
      <c r="CU87">
        <f t="shared" si="92"/>
        <v>0</v>
      </c>
      <c r="CV87">
        <f t="shared" si="93"/>
        <v>0</v>
      </c>
      <c r="CW87">
        <f t="shared" si="94"/>
        <v>0</v>
      </c>
      <c r="CX87">
        <f t="shared" si="95"/>
        <v>0</v>
      </c>
      <c r="CY87">
        <f t="shared" si="96"/>
        <v>0</v>
      </c>
      <c r="CZ87">
        <f t="shared" si="97"/>
        <v>0</v>
      </c>
      <c r="DC87" t="s">
        <v>4</v>
      </c>
      <c r="DD87" t="s">
        <v>4</v>
      </c>
      <c r="DE87" t="s">
        <v>4</v>
      </c>
      <c r="DF87" t="s">
        <v>4</v>
      </c>
      <c r="DG87" t="s">
        <v>4</v>
      </c>
      <c r="DH87" t="s">
        <v>4</v>
      </c>
      <c r="DI87" t="s">
        <v>4</v>
      </c>
      <c r="DJ87" t="s">
        <v>4</v>
      </c>
      <c r="DK87" t="s">
        <v>4</v>
      </c>
      <c r="DL87" t="s">
        <v>4</v>
      </c>
      <c r="DM87" t="s">
        <v>4</v>
      </c>
      <c r="DN87">
        <v>0</v>
      </c>
      <c r="DO87">
        <v>0</v>
      </c>
      <c r="DP87">
        <v>1</v>
      </c>
      <c r="DQ87">
        <v>1</v>
      </c>
      <c r="DU87">
        <v>1013</v>
      </c>
      <c r="DV87" t="s">
        <v>155</v>
      </c>
      <c r="DW87" t="s">
        <v>155</v>
      </c>
      <c r="DX87">
        <v>1</v>
      </c>
      <c r="EE87">
        <v>40097556</v>
      </c>
      <c r="EF87">
        <v>130</v>
      </c>
      <c r="EG87" t="s">
        <v>156</v>
      </c>
      <c r="EH87">
        <v>0</v>
      </c>
      <c r="EI87" t="s">
        <v>4</v>
      </c>
      <c r="EJ87">
        <v>3</v>
      </c>
      <c r="EK87">
        <v>746</v>
      </c>
      <c r="EL87" t="s">
        <v>157</v>
      </c>
      <c r="EM87" t="s">
        <v>158</v>
      </c>
      <c r="EO87" t="s">
        <v>4</v>
      </c>
      <c r="EQ87">
        <v>0</v>
      </c>
      <c r="ER87">
        <v>25157.23</v>
      </c>
      <c r="ES87">
        <v>25157.23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5</v>
      </c>
      <c r="FC87">
        <v>0</v>
      </c>
      <c r="FD87">
        <v>18</v>
      </c>
      <c r="FF87">
        <v>120000</v>
      </c>
      <c r="FQ87">
        <v>0</v>
      </c>
      <c r="FR87">
        <f t="shared" si="98"/>
        <v>119999.99</v>
      </c>
      <c r="FS87">
        <v>0</v>
      </c>
      <c r="FX87">
        <v>0</v>
      </c>
      <c r="FY87">
        <v>0</v>
      </c>
      <c r="GA87" t="s">
        <v>184</v>
      </c>
      <c r="GD87">
        <v>0</v>
      </c>
      <c r="GF87">
        <v>-1545454063</v>
      </c>
      <c r="GG87">
        <v>2</v>
      </c>
      <c r="GH87">
        <v>3</v>
      </c>
      <c r="GI87">
        <v>3</v>
      </c>
      <c r="GJ87">
        <v>0</v>
      </c>
      <c r="GK87">
        <f>ROUND(R87*(R12)/100,2)</f>
        <v>0</v>
      </c>
      <c r="GL87">
        <f t="shared" si="99"/>
        <v>0</v>
      </c>
      <c r="GM87">
        <f t="shared" si="100"/>
        <v>119999.99</v>
      </c>
      <c r="GN87">
        <f t="shared" si="101"/>
        <v>0</v>
      </c>
      <c r="GO87">
        <f t="shared" si="102"/>
        <v>0</v>
      </c>
      <c r="GP87">
        <f t="shared" si="103"/>
        <v>0</v>
      </c>
      <c r="GR87">
        <v>1</v>
      </c>
      <c r="GS87">
        <v>1</v>
      </c>
      <c r="GT87">
        <v>0</v>
      </c>
      <c r="GU87" t="s">
        <v>4</v>
      </c>
      <c r="GV87">
        <f t="shared" si="104"/>
        <v>0</v>
      </c>
      <c r="GW87">
        <v>1</v>
      </c>
      <c r="GX87">
        <f t="shared" si="105"/>
        <v>0</v>
      </c>
      <c r="HA87">
        <v>0</v>
      </c>
      <c r="HB87">
        <v>0</v>
      </c>
      <c r="HC87">
        <f t="shared" si="106"/>
        <v>0</v>
      </c>
      <c r="IK87">
        <v>0</v>
      </c>
    </row>
    <row r="88" spans="1:245" x14ac:dyDescent="0.25">
      <c r="A88">
        <v>17</v>
      </c>
      <c r="B88">
        <v>1</v>
      </c>
      <c r="E88" t="s">
        <v>185</v>
      </c>
      <c r="F88" t="s">
        <v>153</v>
      </c>
      <c r="G88" t="s">
        <v>186</v>
      </c>
      <c r="H88" t="s">
        <v>155</v>
      </c>
      <c r="I88">
        <v>2</v>
      </c>
      <c r="J88">
        <v>0</v>
      </c>
      <c r="O88">
        <f t="shared" si="67"/>
        <v>39.97</v>
      </c>
      <c r="P88">
        <f t="shared" si="68"/>
        <v>39.97</v>
      </c>
      <c r="Q88">
        <f t="shared" si="69"/>
        <v>0</v>
      </c>
      <c r="R88">
        <f t="shared" si="70"/>
        <v>0</v>
      </c>
      <c r="S88">
        <f t="shared" si="71"/>
        <v>0</v>
      </c>
      <c r="T88">
        <f t="shared" si="72"/>
        <v>0</v>
      </c>
      <c r="U88">
        <f t="shared" si="73"/>
        <v>0</v>
      </c>
      <c r="V88">
        <f t="shared" si="74"/>
        <v>0</v>
      </c>
      <c r="W88">
        <f t="shared" si="75"/>
        <v>0</v>
      </c>
      <c r="X88">
        <f t="shared" si="76"/>
        <v>0</v>
      </c>
      <c r="Y88">
        <f t="shared" si="77"/>
        <v>0</v>
      </c>
      <c r="AA88">
        <v>40520239</v>
      </c>
      <c r="AB88">
        <f t="shared" si="78"/>
        <v>4.1900000000000004</v>
      </c>
      <c r="AC88">
        <f t="shared" si="79"/>
        <v>4.1900000000000004</v>
      </c>
      <c r="AD88">
        <f t="shared" si="80"/>
        <v>0</v>
      </c>
      <c r="AE88">
        <f t="shared" si="81"/>
        <v>0</v>
      </c>
      <c r="AF88">
        <f t="shared" si="82"/>
        <v>0</v>
      </c>
      <c r="AG88">
        <f t="shared" si="83"/>
        <v>0</v>
      </c>
      <c r="AH88">
        <f t="shared" si="84"/>
        <v>0</v>
      </c>
      <c r="AI88">
        <f t="shared" si="85"/>
        <v>0</v>
      </c>
      <c r="AJ88">
        <f t="shared" si="86"/>
        <v>0</v>
      </c>
      <c r="AK88">
        <v>4.1900000000000004</v>
      </c>
      <c r="AL88">
        <v>4.1900000000000004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1</v>
      </c>
      <c r="AW88">
        <v>1</v>
      </c>
      <c r="AZ88">
        <v>1</v>
      </c>
      <c r="BA88">
        <v>1</v>
      </c>
      <c r="BB88">
        <v>1</v>
      </c>
      <c r="BC88">
        <v>4.7699999999999996</v>
      </c>
      <c r="BD88" t="s">
        <v>4</v>
      </c>
      <c r="BE88" t="s">
        <v>4</v>
      </c>
      <c r="BF88" t="s">
        <v>4</v>
      </c>
      <c r="BG88" t="s">
        <v>4</v>
      </c>
      <c r="BH88">
        <v>3</v>
      </c>
      <c r="BI88">
        <v>3</v>
      </c>
      <c r="BJ88" t="s">
        <v>4</v>
      </c>
      <c r="BM88">
        <v>746</v>
      </c>
      <c r="BN88">
        <v>0</v>
      </c>
      <c r="BO88" t="s">
        <v>4</v>
      </c>
      <c r="BP88">
        <v>0</v>
      </c>
      <c r="BQ88">
        <v>130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4</v>
      </c>
      <c r="BZ88">
        <v>0</v>
      </c>
      <c r="CA88">
        <v>0</v>
      </c>
      <c r="CE88">
        <v>30</v>
      </c>
      <c r="CF88">
        <v>0</v>
      </c>
      <c r="CG88">
        <v>0</v>
      </c>
      <c r="CM88">
        <v>0</v>
      </c>
      <c r="CN88" t="s">
        <v>4</v>
      </c>
      <c r="CO88">
        <v>0</v>
      </c>
      <c r="CP88">
        <f t="shared" si="87"/>
        <v>39.97</v>
      </c>
      <c r="CQ88">
        <f t="shared" si="88"/>
        <v>19.989999999999998</v>
      </c>
      <c r="CR88">
        <f t="shared" si="89"/>
        <v>0</v>
      </c>
      <c r="CS88">
        <f t="shared" si="90"/>
        <v>0</v>
      </c>
      <c r="CT88">
        <f t="shared" si="91"/>
        <v>0</v>
      </c>
      <c r="CU88">
        <f t="shared" si="92"/>
        <v>0</v>
      </c>
      <c r="CV88">
        <f t="shared" si="93"/>
        <v>0</v>
      </c>
      <c r="CW88">
        <f t="shared" si="94"/>
        <v>0</v>
      </c>
      <c r="CX88">
        <f t="shared" si="95"/>
        <v>0</v>
      </c>
      <c r="CY88">
        <f t="shared" si="96"/>
        <v>0</v>
      </c>
      <c r="CZ88">
        <f t="shared" si="97"/>
        <v>0</v>
      </c>
      <c r="DC88" t="s">
        <v>4</v>
      </c>
      <c r="DD88" t="s">
        <v>4</v>
      </c>
      <c r="DE88" t="s">
        <v>4</v>
      </c>
      <c r="DF88" t="s">
        <v>4</v>
      </c>
      <c r="DG88" t="s">
        <v>4</v>
      </c>
      <c r="DH88" t="s">
        <v>4</v>
      </c>
      <c r="DI88" t="s">
        <v>4</v>
      </c>
      <c r="DJ88" t="s">
        <v>4</v>
      </c>
      <c r="DK88" t="s">
        <v>4</v>
      </c>
      <c r="DL88" t="s">
        <v>4</v>
      </c>
      <c r="DM88" t="s">
        <v>4</v>
      </c>
      <c r="DN88">
        <v>0</v>
      </c>
      <c r="DO88">
        <v>0</v>
      </c>
      <c r="DP88">
        <v>1</v>
      </c>
      <c r="DQ88">
        <v>1</v>
      </c>
      <c r="DU88">
        <v>1013</v>
      </c>
      <c r="DV88" t="s">
        <v>155</v>
      </c>
      <c r="DW88" t="s">
        <v>155</v>
      </c>
      <c r="DX88">
        <v>1</v>
      </c>
      <c r="EE88">
        <v>40097556</v>
      </c>
      <c r="EF88">
        <v>130</v>
      </c>
      <c r="EG88" t="s">
        <v>156</v>
      </c>
      <c r="EH88">
        <v>0</v>
      </c>
      <c r="EI88" t="s">
        <v>4</v>
      </c>
      <c r="EJ88">
        <v>3</v>
      </c>
      <c r="EK88">
        <v>746</v>
      </c>
      <c r="EL88" t="s">
        <v>157</v>
      </c>
      <c r="EM88" t="s">
        <v>158</v>
      </c>
      <c r="EO88" t="s">
        <v>4</v>
      </c>
      <c r="EQ88">
        <v>0</v>
      </c>
      <c r="ER88">
        <v>4.1900000000000004</v>
      </c>
      <c r="ES88">
        <v>4.1900000000000004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5</v>
      </c>
      <c r="FC88">
        <v>0</v>
      </c>
      <c r="FD88">
        <v>18</v>
      </c>
      <c r="FF88">
        <v>20</v>
      </c>
      <c r="FQ88">
        <v>0</v>
      </c>
      <c r="FR88">
        <f t="shared" si="98"/>
        <v>39.97</v>
      </c>
      <c r="FS88">
        <v>0</v>
      </c>
      <c r="FX88">
        <v>0</v>
      </c>
      <c r="FY88">
        <v>0</v>
      </c>
      <c r="GA88" t="s">
        <v>187</v>
      </c>
      <c r="GD88">
        <v>0</v>
      </c>
      <c r="GF88">
        <v>249728901</v>
      </c>
      <c r="GG88">
        <v>2</v>
      </c>
      <c r="GH88">
        <v>3</v>
      </c>
      <c r="GI88">
        <v>3</v>
      </c>
      <c r="GJ88">
        <v>0</v>
      </c>
      <c r="GK88">
        <f>ROUND(R88*(R12)/100,2)</f>
        <v>0</v>
      </c>
      <c r="GL88">
        <f t="shared" si="99"/>
        <v>0</v>
      </c>
      <c r="GM88">
        <f t="shared" si="100"/>
        <v>39.97</v>
      </c>
      <c r="GN88">
        <f t="shared" si="101"/>
        <v>0</v>
      </c>
      <c r="GO88">
        <f t="shared" si="102"/>
        <v>0</v>
      </c>
      <c r="GP88">
        <f t="shared" si="103"/>
        <v>0</v>
      </c>
      <c r="GR88">
        <v>1</v>
      </c>
      <c r="GS88">
        <v>1</v>
      </c>
      <c r="GT88">
        <v>0</v>
      </c>
      <c r="GU88" t="s">
        <v>4</v>
      </c>
      <c r="GV88">
        <f t="shared" si="104"/>
        <v>0</v>
      </c>
      <c r="GW88">
        <v>1</v>
      </c>
      <c r="GX88">
        <f t="shared" si="105"/>
        <v>0</v>
      </c>
      <c r="HA88">
        <v>0</v>
      </c>
      <c r="HB88">
        <v>0</v>
      </c>
      <c r="HC88">
        <f t="shared" si="106"/>
        <v>0</v>
      </c>
      <c r="IK88">
        <v>0</v>
      </c>
    </row>
    <row r="89" spans="1:245" x14ac:dyDescent="0.25">
      <c r="A89">
        <v>17</v>
      </c>
      <c r="B89">
        <v>1</v>
      </c>
      <c r="E89" t="s">
        <v>188</v>
      </c>
      <c r="F89" t="s">
        <v>153</v>
      </c>
      <c r="G89" t="s">
        <v>189</v>
      </c>
      <c r="H89" t="s">
        <v>155</v>
      </c>
      <c r="I89">
        <v>1</v>
      </c>
      <c r="J89">
        <v>0</v>
      </c>
      <c r="O89">
        <f t="shared" si="67"/>
        <v>25000</v>
      </c>
      <c r="P89">
        <f t="shared" si="68"/>
        <v>25000</v>
      </c>
      <c r="Q89">
        <f t="shared" si="69"/>
        <v>0</v>
      </c>
      <c r="R89">
        <f t="shared" si="70"/>
        <v>0</v>
      </c>
      <c r="S89">
        <f t="shared" si="71"/>
        <v>0</v>
      </c>
      <c r="T89">
        <f t="shared" si="72"/>
        <v>0</v>
      </c>
      <c r="U89">
        <f t="shared" si="73"/>
        <v>0</v>
      </c>
      <c r="V89">
        <f t="shared" si="74"/>
        <v>0</v>
      </c>
      <c r="W89">
        <f t="shared" si="75"/>
        <v>0</v>
      </c>
      <c r="X89">
        <f t="shared" si="76"/>
        <v>0</v>
      </c>
      <c r="Y89">
        <f t="shared" si="77"/>
        <v>0</v>
      </c>
      <c r="AA89">
        <v>40520239</v>
      </c>
      <c r="AB89">
        <f t="shared" si="78"/>
        <v>5241.09</v>
      </c>
      <c r="AC89">
        <f t="shared" si="79"/>
        <v>5241.09</v>
      </c>
      <c r="AD89">
        <f t="shared" si="80"/>
        <v>0</v>
      </c>
      <c r="AE89">
        <f t="shared" si="81"/>
        <v>0</v>
      </c>
      <c r="AF89">
        <f t="shared" si="82"/>
        <v>0</v>
      </c>
      <c r="AG89">
        <f t="shared" si="83"/>
        <v>0</v>
      </c>
      <c r="AH89">
        <f t="shared" si="84"/>
        <v>0</v>
      </c>
      <c r="AI89">
        <f t="shared" si="85"/>
        <v>0</v>
      </c>
      <c r="AJ89">
        <f t="shared" si="86"/>
        <v>0</v>
      </c>
      <c r="AK89">
        <v>5241.09</v>
      </c>
      <c r="AL89">
        <v>5241.09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4.7699999999999996</v>
      </c>
      <c r="BD89" t="s">
        <v>4</v>
      </c>
      <c r="BE89" t="s">
        <v>4</v>
      </c>
      <c r="BF89" t="s">
        <v>4</v>
      </c>
      <c r="BG89" t="s">
        <v>4</v>
      </c>
      <c r="BH89">
        <v>3</v>
      </c>
      <c r="BI89">
        <v>3</v>
      </c>
      <c r="BJ89" t="s">
        <v>4</v>
      </c>
      <c r="BM89">
        <v>746</v>
      </c>
      <c r="BN89">
        <v>0</v>
      </c>
      <c r="BO89" t="s">
        <v>4</v>
      </c>
      <c r="BP89">
        <v>0</v>
      </c>
      <c r="BQ89">
        <v>130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4</v>
      </c>
      <c r="BZ89">
        <v>0</v>
      </c>
      <c r="CA89">
        <v>0</v>
      </c>
      <c r="CE89">
        <v>30</v>
      </c>
      <c r="CF89">
        <v>0</v>
      </c>
      <c r="CG89">
        <v>0</v>
      </c>
      <c r="CM89">
        <v>0</v>
      </c>
      <c r="CN89" t="s">
        <v>4</v>
      </c>
      <c r="CO89">
        <v>0</v>
      </c>
      <c r="CP89">
        <f t="shared" si="87"/>
        <v>25000</v>
      </c>
      <c r="CQ89">
        <f t="shared" si="88"/>
        <v>25000</v>
      </c>
      <c r="CR89">
        <f t="shared" si="89"/>
        <v>0</v>
      </c>
      <c r="CS89">
        <f t="shared" si="90"/>
        <v>0</v>
      </c>
      <c r="CT89">
        <f t="shared" si="91"/>
        <v>0</v>
      </c>
      <c r="CU89">
        <f t="shared" si="92"/>
        <v>0</v>
      </c>
      <c r="CV89">
        <f t="shared" si="93"/>
        <v>0</v>
      </c>
      <c r="CW89">
        <f t="shared" si="94"/>
        <v>0</v>
      </c>
      <c r="CX89">
        <f t="shared" si="95"/>
        <v>0</v>
      </c>
      <c r="CY89">
        <f t="shared" si="96"/>
        <v>0</v>
      </c>
      <c r="CZ89">
        <f t="shared" si="97"/>
        <v>0</v>
      </c>
      <c r="DC89" t="s">
        <v>4</v>
      </c>
      <c r="DD89" t="s">
        <v>4</v>
      </c>
      <c r="DE89" t="s">
        <v>4</v>
      </c>
      <c r="DF89" t="s">
        <v>4</v>
      </c>
      <c r="DG89" t="s">
        <v>4</v>
      </c>
      <c r="DH89" t="s">
        <v>4</v>
      </c>
      <c r="DI89" t="s">
        <v>4</v>
      </c>
      <c r="DJ89" t="s">
        <v>4</v>
      </c>
      <c r="DK89" t="s">
        <v>4</v>
      </c>
      <c r="DL89" t="s">
        <v>4</v>
      </c>
      <c r="DM89" t="s">
        <v>4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155</v>
      </c>
      <c r="DW89" t="s">
        <v>155</v>
      </c>
      <c r="DX89">
        <v>1</v>
      </c>
      <c r="EE89">
        <v>40097556</v>
      </c>
      <c r="EF89">
        <v>130</v>
      </c>
      <c r="EG89" t="s">
        <v>156</v>
      </c>
      <c r="EH89">
        <v>0</v>
      </c>
      <c r="EI89" t="s">
        <v>4</v>
      </c>
      <c r="EJ89">
        <v>3</v>
      </c>
      <c r="EK89">
        <v>746</v>
      </c>
      <c r="EL89" t="s">
        <v>157</v>
      </c>
      <c r="EM89" t="s">
        <v>158</v>
      </c>
      <c r="EO89" t="s">
        <v>4</v>
      </c>
      <c r="EQ89">
        <v>0</v>
      </c>
      <c r="ER89">
        <v>5241.09</v>
      </c>
      <c r="ES89">
        <v>5241.09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5</v>
      </c>
      <c r="FC89">
        <v>0</v>
      </c>
      <c r="FD89">
        <v>18</v>
      </c>
      <c r="FF89">
        <v>25000</v>
      </c>
      <c r="FQ89">
        <v>0</v>
      </c>
      <c r="FR89">
        <f t="shared" si="98"/>
        <v>25000</v>
      </c>
      <c r="FS89">
        <v>0</v>
      </c>
      <c r="FX89">
        <v>0</v>
      </c>
      <c r="FY89">
        <v>0</v>
      </c>
      <c r="GA89" t="s">
        <v>190</v>
      </c>
      <c r="GD89">
        <v>0</v>
      </c>
      <c r="GF89">
        <v>1281453701</v>
      </c>
      <c r="GG89">
        <v>2</v>
      </c>
      <c r="GH89">
        <v>3</v>
      </c>
      <c r="GI89">
        <v>3</v>
      </c>
      <c r="GJ89">
        <v>0</v>
      </c>
      <c r="GK89">
        <f>ROUND(R89*(R12)/100,2)</f>
        <v>0</v>
      </c>
      <c r="GL89">
        <f t="shared" si="99"/>
        <v>0</v>
      </c>
      <c r="GM89">
        <f t="shared" si="100"/>
        <v>25000</v>
      </c>
      <c r="GN89">
        <f t="shared" si="101"/>
        <v>0</v>
      </c>
      <c r="GO89">
        <f t="shared" si="102"/>
        <v>0</v>
      </c>
      <c r="GP89">
        <f t="shared" si="103"/>
        <v>0</v>
      </c>
      <c r="GR89">
        <v>1</v>
      </c>
      <c r="GS89">
        <v>1</v>
      </c>
      <c r="GT89">
        <v>0</v>
      </c>
      <c r="GU89" t="s">
        <v>4</v>
      </c>
      <c r="GV89">
        <f t="shared" si="104"/>
        <v>0</v>
      </c>
      <c r="GW89">
        <v>1</v>
      </c>
      <c r="GX89">
        <f t="shared" si="105"/>
        <v>0</v>
      </c>
      <c r="HA89">
        <v>0</v>
      </c>
      <c r="HB89">
        <v>0</v>
      </c>
      <c r="HC89">
        <f t="shared" si="106"/>
        <v>0</v>
      </c>
      <c r="IK89">
        <v>0</v>
      </c>
    </row>
    <row r="90" spans="1:245" x14ac:dyDescent="0.25">
      <c r="A90">
        <v>17</v>
      </c>
      <c r="B90">
        <v>1</v>
      </c>
      <c r="E90" t="s">
        <v>191</v>
      </c>
      <c r="F90" t="s">
        <v>153</v>
      </c>
      <c r="G90" t="s">
        <v>192</v>
      </c>
      <c r="H90" t="s">
        <v>155</v>
      </c>
      <c r="I90">
        <v>1</v>
      </c>
      <c r="J90">
        <v>0</v>
      </c>
      <c r="O90">
        <f t="shared" si="67"/>
        <v>50000</v>
      </c>
      <c r="P90">
        <f t="shared" si="68"/>
        <v>50000</v>
      </c>
      <c r="Q90">
        <f t="shared" si="69"/>
        <v>0</v>
      </c>
      <c r="R90">
        <f t="shared" si="70"/>
        <v>0</v>
      </c>
      <c r="S90">
        <f t="shared" si="71"/>
        <v>0</v>
      </c>
      <c r="T90">
        <f t="shared" si="72"/>
        <v>0</v>
      </c>
      <c r="U90">
        <f t="shared" si="73"/>
        <v>0</v>
      </c>
      <c r="V90">
        <f t="shared" si="74"/>
        <v>0</v>
      </c>
      <c r="W90">
        <f t="shared" si="75"/>
        <v>0</v>
      </c>
      <c r="X90">
        <f t="shared" si="76"/>
        <v>0</v>
      </c>
      <c r="Y90">
        <f t="shared" si="77"/>
        <v>0</v>
      </c>
      <c r="AA90">
        <v>40520239</v>
      </c>
      <c r="AB90">
        <f t="shared" si="78"/>
        <v>10482.18</v>
      </c>
      <c r="AC90">
        <f t="shared" si="79"/>
        <v>10482.18</v>
      </c>
      <c r="AD90">
        <f t="shared" si="80"/>
        <v>0</v>
      </c>
      <c r="AE90">
        <f t="shared" si="81"/>
        <v>0</v>
      </c>
      <c r="AF90">
        <f t="shared" si="82"/>
        <v>0</v>
      </c>
      <c r="AG90">
        <f t="shared" si="83"/>
        <v>0</v>
      </c>
      <c r="AH90">
        <f t="shared" si="84"/>
        <v>0</v>
      </c>
      <c r="AI90">
        <f t="shared" si="85"/>
        <v>0</v>
      </c>
      <c r="AJ90">
        <f t="shared" si="86"/>
        <v>0</v>
      </c>
      <c r="AK90">
        <v>10482.18</v>
      </c>
      <c r="AL90">
        <v>10482.18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1</v>
      </c>
      <c r="AZ90">
        <v>1</v>
      </c>
      <c r="BA90">
        <v>1</v>
      </c>
      <c r="BB90">
        <v>1</v>
      </c>
      <c r="BC90">
        <v>4.7699999999999996</v>
      </c>
      <c r="BD90" t="s">
        <v>4</v>
      </c>
      <c r="BE90" t="s">
        <v>4</v>
      </c>
      <c r="BF90" t="s">
        <v>4</v>
      </c>
      <c r="BG90" t="s">
        <v>4</v>
      </c>
      <c r="BH90">
        <v>3</v>
      </c>
      <c r="BI90">
        <v>3</v>
      </c>
      <c r="BJ90" t="s">
        <v>4</v>
      </c>
      <c r="BM90">
        <v>746</v>
      </c>
      <c r="BN90">
        <v>0</v>
      </c>
      <c r="BO90" t="s">
        <v>4</v>
      </c>
      <c r="BP90">
        <v>0</v>
      </c>
      <c r="BQ90">
        <v>130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4</v>
      </c>
      <c r="BZ90">
        <v>0</v>
      </c>
      <c r="CA90">
        <v>0</v>
      </c>
      <c r="CE90">
        <v>30</v>
      </c>
      <c r="CF90">
        <v>0</v>
      </c>
      <c r="CG90">
        <v>0</v>
      </c>
      <c r="CM90">
        <v>0</v>
      </c>
      <c r="CN90" t="s">
        <v>4</v>
      </c>
      <c r="CO90">
        <v>0</v>
      </c>
      <c r="CP90">
        <f t="shared" si="87"/>
        <v>50000</v>
      </c>
      <c r="CQ90">
        <f t="shared" si="88"/>
        <v>50000</v>
      </c>
      <c r="CR90">
        <f t="shared" si="89"/>
        <v>0</v>
      </c>
      <c r="CS90">
        <f t="shared" si="90"/>
        <v>0</v>
      </c>
      <c r="CT90">
        <f t="shared" si="91"/>
        <v>0</v>
      </c>
      <c r="CU90">
        <f t="shared" si="92"/>
        <v>0</v>
      </c>
      <c r="CV90">
        <f t="shared" si="93"/>
        <v>0</v>
      </c>
      <c r="CW90">
        <f t="shared" si="94"/>
        <v>0</v>
      </c>
      <c r="CX90">
        <f t="shared" si="95"/>
        <v>0</v>
      </c>
      <c r="CY90">
        <f t="shared" si="96"/>
        <v>0</v>
      </c>
      <c r="CZ90">
        <f t="shared" si="97"/>
        <v>0</v>
      </c>
      <c r="DC90" t="s">
        <v>4</v>
      </c>
      <c r="DD90" t="s">
        <v>4</v>
      </c>
      <c r="DE90" t="s">
        <v>4</v>
      </c>
      <c r="DF90" t="s">
        <v>4</v>
      </c>
      <c r="DG90" t="s">
        <v>4</v>
      </c>
      <c r="DH90" t="s">
        <v>4</v>
      </c>
      <c r="DI90" t="s">
        <v>4</v>
      </c>
      <c r="DJ90" t="s">
        <v>4</v>
      </c>
      <c r="DK90" t="s">
        <v>4</v>
      </c>
      <c r="DL90" t="s">
        <v>4</v>
      </c>
      <c r="DM90" t="s">
        <v>4</v>
      </c>
      <c r="DN90">
        <v>0</v>
      </c>
      <c r="DO90">
        <v>0</v>
      </c>
      <c r="DP90">
        <v>1</v>
      </c>
      <c r="DQ90">
        <v>1</v>
      </c>
      <c r="DU90">
        <v>1013</v>
      </c>
      <c r="DV90" t="s">
        <v>155</v>
      </c>
      <c r="DW90" t="s">
        <v>155</v>
      </c>
      <c r="DX90">
        <v>1</v>
      </c>
      <c r="EE90">
        <v>40097556</v>
      </c>
      <c r="EF90">
        <v>130</v>
      </c>
      <c r="EG90" t="s">
        <v>156</v>
      </c>
      <c r="EH90">
        <v>0</v>
      </c>
      <c r="EI90" t="s">
        <v>4</v>
      </c>
      <c r="EJ90">
        <v>3</v>
      </c>
      <c r="EK90">
        <v>746</v>
      </c>
      <c r="EL90" t="s">
        <v>157</v>
      </c>
      <c r="EM90" t="s">
        <v>158</v>
      </c>
      <c r="EO90" t="s">
        <v>4</v>
      </c>
      <c r="EQ90">
        <v>0</v>
      </c>
      <c r="ER90">
        <v>10482.18</v>
      </c>
      <c r="ES90">
        <v>10482.18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5</v>
      </c>
      <c r="FC90">
        <v>0</v>
      </c>
      <c r="FD90">
        <v>18</v>
      </c>
      <c r="FF90">
        <v>50000</v>
      </c>
      <c r="FQ90">
        <v>0</v>
      </c>
      <c r="FR90">
        <f t="shared" si="98"/>
        <v>50000</v>
      </c>
      <c r="FS90">
        <v>0</v>
      </c>
      <c r="FX90">
        <v>0</v>
      </c>
      <c r="FY90">
        <v>0</v>
      </c>
      <c r="GA90" t="s">
        <v>193</v>
      </c>
      <c r="GD90">
        <v>0</v>
      </c>
      <c r="GF90">
        <v>1946462203</v>
      </c>
      <c r="GG90">
        <v>2</v>
      </c>
      <c r="GH90">
        <v>3</v>
      </c>
      <c r="GI90">
        <v>3</v>
      </c>
      <c r="GJ90">
        <v>0</v>
      </c>
      <c r="GK90">
        <f>ROUND(R90*(R12)/100,2)</f>
        <v>0</v>
      </c>
      <c r="GL90">
        <f t="shared" si="99"/>
        <v>0</v>
      </c>
      <c r="GM90">
        <f t="shared" si="100"/>
        <v>50000</v>
      </c>
      <c r="GN90">
        <f t="shared" si="101"/>
        <v>0</v>
      </c>
      <c r="GO90">
        <f t="shared" si="102"/>
        <v>0</v>
      </c>
      <c r="GP90">
        <f t="shared" si="103"/>
        <v>0</v>
      </c>
      <c r="GR90">
        <v>1</v>
      </c>
      <c r="GS90">
        <v>1</v>
      </c>
      <c r="GT90">
        <v>0</v>
      </c>
      <c r="GU90" t="s">
        <v>4</v>
      </c>
      <c r="GV90">
        <f t="shared" si="104"/>
        <v>0</v>
      </c>
      <c r="GW90">
        <v>1</v>
      </c>
      <c r="GX90">
        <f t="shared" si="105"/>
        <v>0</v>
      </c>
      <c r="HA90">
        <v>0</v>
      </c>
      <c r="HB90">
        <v>0</v>
      </c>
      <c r="HC90">
        <f t="shared" si="106"/>
        <v>0</v>
      </c>
      <c r="IK90">
        <v>0</v>
      </c>
    </row>
    <row r="91" spans="1:245" x14ac:dyDescent="0.25">
      <c r="A91">
        <v>19</v>
      </c>
      <c r="B91">
        <v>1</v>
      </c>
      <c r="F91" t="s">
        <v>4</v>
      </c>
      <c r="G91" t="s">
        <v>4</v>
      </c>
      <c r="H91" t="s">
        <v>4</v>
      </c>
      <c r="AA91">
        <v>1</v>
      </c>
      <c r="IK91">
        <v>0</v>
      </c>
    </row>
    <row r="92" spans="1:245" x14ac:dyDescent="0.25">
      <c r="A92">
        <v>19</v>
      </c>
      <c r="B92">
        <v>1</v>
      </c>
      <c r="F92" t="s">
        <v>4</v>
      </c>
      <c r="G92" t="s">
        <v>4</v>
      </c>
      <c r="H92" t="s">
        <v>4</v>
      </c>
      <c r="AA92">
        <v>1</v>
      </c>
      <c r="IK92">
        <v>0</v>
      </c>
    </row>
    <row r="94" spans="1:245" x14ac:dyDescent="0.25">
      <c r="A94" s="2">
        <v>51</v>
      </c>
      <c r="B94" s="2">
        <f>B72</f>
        <v>1</v>
      </c>
      <c r="C94" s="2">
        <f>A72</f>
        <v>4</v>
      </c>
      <c r="D94" s="2">
        <f>ROW(A72)</f>
        <v>72</v>
      </c>
      <c r="E94" s="2"/>
      <c r="F94" s="2" t="str">
        <f>IF(F72&lt;&gt;"",F72,"")</f>
        <v>2</v>
      </c>
      <c r="G94" s="2" t="str">
        <f>IF(G72&lt;&gt;"",G72,"")</f>
        <v>Оборудование</v>
      </c>
      <c r="H94" s="2">
        <v>0</v>
      </c>
      <c r="I94" s="2"/>
      <c r="J94" s="2"/>
      <c r="K94" s="2"/>
      <c r="L94" s="2"/>
      <c r="M94" s="2"/>
      <c r="N94" s="2"/>
      <c r="O94" s="2">
        <f t="shared" ref="O94:T94" si="107">ROUND(AB94,2)</f>
        <v>454918.13</v>
      </c>
      <c r="P94" s="2">
        <f t="shared" si="107"/>
        <v>454918.13</v>
      </c>
      <c r="Q94" s="2">
        <f t="shared" si="107"/>
        <v>0</v>
      </c>
      <c r="R94" s="2">
        <f t="shared" si="107"/>
        <v>0</v>
      </c>
      <c r="S94" s="2">
        <f t="shared" si="107"/>
        <v>0</v>
      </c>
      <c r="T94" s="2">
        <f t="shared" si="107"/>
        <v>0</v>
      </c>
      <c r="U94" s="2">
        <f>AH94</f>
        <v>0</v>
      </c>
      <c r="V94" s="2">
        <f>AI94</f>
        <v>0</v>
      </c>
      <c r="W94" s="2">
        <f>ROUND(AJ94,2)</f>
        <v>0</v>
      </c>
      <c r="X94" s="2">
        <f>ROUND(AK94,2)</f>
        <v>0</v>
      </c>
      <c r="Y94" s="2">
        <f>ROUND(AL94,2)</f>
        <v>0</v>
      </c>
      <c r="Z94" s="2"/>
      <c r="AA94" s="2"/>
      <c r="AB94" s="2">
        <f>ROUND(SUMIF(AA76:AA90,"=40520239",O76:O90),2)</f>
        <v>454918.13</v>
      </c>
      <c r="AC94" s="2">
        <f>ROUND(SUMIF(AA76:AA90,"=40520239",P76:P90),2)</f>
        <v>454918.13</v>
      </c>
      <c r="AD94" s="2">
        <f>ROUND(SUMIF(AA76:AA90,"=40520239",Q76:Q90),2)</f>
        <v>0</v>
      </c>
      <c r="AE94" s="2">
        <f>ROUND(SUMIF(AA76:AA90,"=40520239",R76:R90),2)</f>
        <v>0</v>
      </c>
      <c r="AF94" s="2">
        <f>ROUND(SUMIF(AA76:AA90,"=40520239",S76:S90),2)</f>
        <v>0</v>
      </c>
      <c r="AG94" s="2">
        <f>ROUND(SUMIF(AA76:AA90,"=40520239",T76:T90),2)</f>
        <v>0</v>
      </c>
      <c r="AH94" s="2">
        <f>SUMIF(AA76:AA90,"=40520239",U76:U90)</f>
        <v>0</v>
      </c>
      <c r="AI94" s="2">
        <f>SUMIF(AA76:AA90,"=40520239",V76:V90)</f>
        <v>0</v>
      </c>
      <c r="AJ94" s="2">
        <f>ROUND(SUMIF(AA76:AA90,"=40520239",W76:W90),2)</f>
        <v>0</v>
      </c>
      <c r="AK94" s="2">
        <f>ROUND(SUMIF(AA76:AA90,"=40520239",X76:X90),2)</f>
        <v>0</v>
      </c>
      <c r="AL94" s="2">
        <f>ROUND(SUMIF(AA76:AA90,"=40520239",Y76:Y90),2)</f>
        <v>0</v>
      </c>
      <c r="AM94" s="2"/>
      <c r="AN94" s="2"/>
      <c r="AO94" s="2">
        <f t="shared" ref="AO94:BD94" si="108">ROUND(BX94,2)</f>
        <v>0</v>
      </c>
      <c r="AP94" s="2">
        <f t="shared" si="108"/>
        <v>454918.13</v>
      </c>
      <c r="AQ94" s="2">
        <f t="shared" si="108"/>
        <v>0</v>
      </c>
      <c r="AR94" s="2">
        <f t="shared" si="108"/>
        <v>454918.13</v>
      </c>
      <c r="AS94" s="2">
        <f t="shared" si="108"/>
        <v>0</v>
      </c>
      <c r="AT94" s="2">
        <f t="shared" si="108"/>
        <v>0</v>
      </c>
      <c r="AU94" s="2">
        <f t="shared" si="108"/>
        <v>0</v>
      </c>
      <c r="AV94" s="2">
        <f t="shared" si="108"/>
        <v>454918.13</v>
      </c>
      <c r="AW94" s="2">
        <f t="shared" si="108"/>
        <v>0</v>
      </c>
      <c r="AX94" s="2">
        <f t="shared" si="108"/>
        <v>0</v>
      </c>
      <c r="AY94" s="2">
        <f t="shared" si="108"/>
        <v>0</v>
      </c>
      <c r="AZ94" s="2">
        <f t="shared" si="108"/>
        <v>454918.13</v>
      </c>
      <c r="BA94" s="2">
        <f t="shared" si="108"/>
        <v>0</v>
      </c>
      <c r="BB94" s="2">
        <f t="shared" si="108"/>
        <v>0</v>
      </c>
      <c r="BC94" s="2">
        <f t="shared" si="108"/>
        <v>0</v>
      </c>
      <c r="BD94" s="2">
        <f t="shared" si="108"/>
        <v>0</v>
      </c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>
        <f>ROUND(SUMIF(AA76:AA90,"=40520239",FQ76:FQ90),2)</f>
        <v>0</v>
      </c>
      <c r="BY94" s="2">
        <f>ROUND(SUMIF(AA76:AA90,"=40520239",FR76:FR90),2)</f>
        <v>454918.13</v>
      </c>
      <c r="BZ94" s="2">
        <f>ROUND(SUMIF(AA76:AA90,"=40520239",GL76:GL90),2)</f>
        <v>0</v>
      </c>
      <c r="CA94" s="2">
        <f>ROUND(SUMIF(AA76:AA90,"=40520239",GM76:GM90),2)</f>
        <v>454918.13</v>
      </c>
      <c r="CB94" s="2">
        <f>ROUND(SUMIF(AA76:AA90,"=40520239",GN76:GN90),2)</f>
        <v>0</v>
      </c>
      <c r="CC94" s="2">
        <f>ROUND(SUMIF(AA76:AA90,"=40520239",GO76:GO90),2)</f>
        <v>0</v>
      </c>
      <c r="CD94" s="2">
        <f>ROUND(SUMIF(AA76:AA90,"=40520239",GP76:GP90),2)</f>
        <v>0</v>
      </c>
      <c r="CE94" s="2">
        <f>AC94-BX94</f>
        <v>454918.13</v>
      </c>
      <c r="CF94" s="2">
        <f>AC94-BY94</f>
        <v>0</v>
      </c>
      <c r="CG94" s="2">
        <f>BX94-BZ94</f>
        <v>0</v>
      </c>
      <c r="CH94" s="2">
        <f>AC94-BX94-BY94+BZ94</f>
        <v>0</v>
      </c>
      <c r="CI94" s="2">
        <f>BY94-BZ94</f>
        <v>454918.13</v>
      </c>
      <c r="CJ94" s="2">
        <f>ROUND(SUMIF(AA76:AA90,"=40520239",GX76:GX90),2)</f>
        <v>0</v>
      </c>
      <c r="CK94" s="2">
        <f>ROUND(SUMIF(AA76:AA90,"=40520239",GY76:GY90),2)</f>
        <v>0</v>
      </c>
      <c r="CL94" s="2">
        <f>ROUND(SUMIF(AA76:AA90,"=40520239",GZ76:GZ90),2)</f>
        <v>0</v>
      </c>
      <c r="CM94" s="2">
        <f>ROUND(SUMIF(AA76:AA90,"=40520239",HD76:HD90),2)</f>
        <v>0</v>
      </c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>
        <v>0</v>
      </c>
    </row>
    <row r="96" spans="1:245" x14ac:dyDescent="0.25">
      <c r="A96" s="4">
        <v>50</v>
      </c>
      <c r="B96" s="4">
        <v>0</v>
      </c>
      <c r="C96" s="4">
        <v>0</v>
      </c>
      <c r="D96" s="4">
        <v>1</v>
      </c>
      <c r="E96" s="4">
        <v>201</v>
      </c>
      <c r="F96" s="4">
        <f>ROUND(Source!O94,O96)</f>
        <v>454918.13</v>
      </c>
      <c r="G96" s="4" t="s">
        <v>93</v>
      </c>
      <c r="H96" s="4" t="s">
        <v>94</v>
      </c>
      <c r="I96" s="4"/>
      <c r="J96" s="4"/>
      <c r="K96" s="4">
        <v>201</v>
      </c>
      <c r="L96" s="4">
        <v>1</v>
      </c>
      <c r="M96" s="4">
        <v>3</v>
      </c>
      <c r="N96" s="4" t="s">
        <v>4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 x14ac:dyDescent="0.25">
      <c r="A97" s="4">
        <v>50</v>
      </c>
      <c r="B97" s="4">
        <v>0</v>
      </c>
      <c r="C97" s="4">
        <v>0</v>
      </c>
      <c r="D97" s="4">
        <v>1</v>
      </c>
      <c r="E97" s="4">
        <v>202</v>
      </c>
      <c r="F97" s="4">
        <f>ROUND(Source!P94,O97)</f>
        <v>454918.13</v>
      </c>
      <c r="G97" s="4" t="s">
        <v>95</v>
      </c>
      <c r="H97" s="4" t="s">
        <v>96</v>
      </c>
      <c r="I97" s="4"/>
      <c r="J97" s="4"/>
      <c r="K97" s="4">
        <v>202</v>
      </c>
      <c r="L97" s="4">
        <v>2</v>
      </c>
      <c r="M97" s="4">
        <v>3</v>
      </c>
      <c r="N97" s="4" t="s">
        <v>4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 x14ac:dyDescent="0.25">
      <c r="A98" s="4">
        <v>50</v>
      </c>
      <c r="B98" s="4">
        <v>0</v>
      </c>
      <c r="C98" s="4">
        <v>0</v>
      </c>
      <c r="D98" s="4">
        <v>1</v>
      </c>
      <c r="E98" s="4">
        <v>222</v>
      </c>
      <c r="F98" s="4">
        <f>ROUND(Source!AO94,O98)</f>
        <v>0</v>
      </c>
      <c r="G98" s="4" t="s">
        <v>97</v>
      </c>
      <c r="H98" s="4" t="s">
        <v>98</v>
      </c>
      <c r="I98" s="4"/>
      <c r="J98" s="4"/>
      <c r="K98" s="4">
        <v>222</v>
      </c>
      <c r="L98" s="4">
        <v>3</v>
      </c>
      <c r="M98" s="4">
        <v>3</v>
      </c>
      <c r="N98" s="4" t="s">
        <v>4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 x14ac:dyDescent="0.25">
      <c r="A99" s="4">
        <v>50</v>
      </c>
      <c r="B99" s="4">
        <v>0</v>
      </c>
      <c r="C99" s="4">
        <v>0</v>
      </c>
      <c r="D99" s="4">
        <v>1</v>
      </c>
      <c r="E99" s="4">
        <v>225</v>
      </c>
      <c r="F99" s="4">
        <f>ROUND(Source!AV94,O99)</f>
        <v>454918.13</v>
      </c>
      <c r="G99" s="4" t="s">
        <v>99</v>
      </c>
      <c r="H99" s="4" t="s">
        <v>100</v>
      </c>
      <c r="I99" s="4"/>
      <c r="J99" s="4"/>
      <c r="K99" s="4">
        <v>225</v>
      </c>
      <c r="L99" s="4">
        <v>4</v>
      </c>
      <c r="M99" s="4">
        <v>3</v>
      </c>
      <c r="N99" s="4" t="s">
        <v>4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 x14ac:dyDescent="0.25">
      <c r="A100" s="4">
        <v>50</v>
      </c>
      <c r="B100" s="4">
        <v>0</v>
      </c>
      <c r="C100" s="4">
        <v>0</v>
      </c>
      <c r="D100" s="4">
        <v>1</v>
      </c>
      <c r="E100" s="4">
        <v>226</v>
      </c>
      <c r="F100" s="4">
        <f>ROUND(Source!AW94,O100)</f>
        <v>0</v>
      </c>
      <c r="G100" s="4" t="s">
        <v>101</v>
      </c>
      <c r="H100" s="4" t="s">
        <v>102</v>
      </c>
      <c r="I100" s="4"/>
      <c r="J100" s="4"/>
      <c r="K100" s="4">
        <v>226</v>
      </c>
      <c r="L100" s="4">
        <v>5</v>
      </c>
      <c r="M100" s="4">
        <v>3</v>
      </c>
      <c r="N100" s="4" t="s">
        <v>4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5">
      <c r="A101" s="4">
        <v>50</v>
      </c>
      <c r="B101" s="4">
        <v>0</v>
      </c>
      <c r="C101" s="4">
        <v>0</v>
      </c>
      <c r="D101" s="4">
        <v>1</v>
      </c>
      <c r="E101" s="4">
        <v>227</v>
      </c>
      <c r="F101" s="4">
        <f>ROUND(Source!AX94,O101)</f>
        <v>0</v>
      </c>
      <c r="G101" s="4" t="s">
        <v>103</v>
      </c>
      <c r="H101" s="4" t="s">
        <v>104</v>
      </c>
      <c r="I101" s="4"/>
      <c r="J101" s="4"/>
      <c r="K101" s="4">
        <v>227</v>
      </c>
      <c r="L101" s="4">
        <v>6</v>
      </c>
      <c r="M101" s="4">
        <v>3</v>
      </c>
      <c r="N101" s="4" t="s">
        <v>4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5">
      <c r="A102" s="4">
        <v>50</v>
      </c>
      <c r="B102" s="4">
        <v>0</v>
      </c>
      <c r="C102" s="4">
        <v>0</v>
      </c>
      <c r="D102" s="4">
        <v>1</v>
      </c>
      <c r="E102" s="4">
        <v>228</v>
      </c>
      <c r="F102" s="4">
        <f>ROUND(Source!AY94,O102)</f>
        <v>0</v>
      </c>
      <c r="G102" s="4" t="s">
        <v>105</v>
      </c>
      <c r="H102" s="4" t="s">
        <v>106</v>
      </c>
      <c r="I102" s="4"/>
      <c r="J102" s="4"/>
      <c r="K102" s="4">
        <v>228</v>
      </c>
      <c r="L102" s="4">
        <v>7</v>
      </c>
      <c r="M102" s="4">
        <v>3</v>
      </c>
      <c r="N102" s="4" t="s">
        <v>4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5">
      <c r="A103" s="4">
        <v>50</v>
      </c>
      <c r="B103" s="4">
        <v>0</v>
      </c>
      <c r="C103" s="4">
        <v>0</v>
      </c>
      <c r="D103" s="4">
        <v>1</v>
      </c>
      <c r="E103" s="4">
        <v>216</v>
      </c>
      <c r="F103" s="4">
        <f>ROUND(Source!AP94,O103)</f>
        <v>454918.13</v>
      </c>
      <c r="G103" s="4" t="s">
        <v>107</v>
      </c>
      <c r="H103" s="4" t="s">
        <v>108</v>
      </c>
      <c r="I103" s="4"/>
      <c r="J103" s="4"/>
      <c r="K103" s="4">
        <v>216</v>
      </c>
      <c r="L103" s="4">
        <v>8</v>
      </c>
      <c r="M103" s="4">
        <v>3</v>
      </c>
      <c r="N103" s="4" t="s">
        <v>4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5">
      <c r="A104" s="4">
        <v>50</v>
      </c>
      <c r="B104" s="4">
        <v>0</v>
      </c>
      <c r="C104" s="4">
        <v>0</v>
      </c>
      <c r="D104" s="4">
        <v>1</v>
      </c>
      <c r="E104" s="4">
        <v>223</v>
      </c>
      <c r="F104" s="4">
        <f>ROUND(Source!AQ94,O104)</f>
        <v>0</v>
      </c>
      <c r="G104" s="4" t="s">
        <v>109</v>
      </c>
      <c r="H104" s="4" t="s">
        <v>110</v>
      </c>
      <c r="I104" s="4"/>
      <c r="J104" s="4"/>
      <c r="K104" s="4">
        <v>223</v>
      </c>
      <c r="L104" s="4">
        <v>9</v>
      </c>
      <c r="M104" s="4">
        <v>3</v>
      </c>
      <c r="N104" s="4" t="s">
        <v>4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5">
      <c r="A105" s="4">
        <v>50</v>
      </c>
      <c r="B105" s="4">
        <v>0</v>
      </c>
      <c r="C105" s="4">
        <v>0</v>
      </c>
      <c r="D105" s="4">
        <v>1</v>
      </c>
      <c r="E105" s="4">
        <v>229</v>
      </c>
      <c r="F105" s="4">
        <f>ROUND(Source!AZ94,O105)</f>
        <v>454918.13</v>
      </c>
      <c r="G105" s="4" t="s">
        <v>111</v>
      </c>
      <c r="H105" s="4" t="s">
        <v>112</v>
      </c>
      <c r="I105" s="4"/>
      <c r="J105" s="4"/>
      <c r="K105" s="4">
        <v>229</v>
      </c>
      <c r="L105" s="4">
        <v>10</v>
      </c>
      <c r="M105" s="4">
        <v>3</v>
      </c>
      <c r="N105" s="4" t="s">
        <v>4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5">
      <c r="A106" s="4">
        <v>50</v>
      </c>
      <c r="B106" s="4">
        <v>0</v>
      </c>
      <c r="C106" s="4">
        <v>0</v>
      </c>
      <c r="D106" s="4">
        <v>1</v>
      </c>
      <c r="E106" s="4">
        <v>203</v>
      </c>
      <c r="F106" s="4">
        <f>ROUND(Source!Q94,O106)</f>
        <v>0</v>
      </c>
      <c r="G106" s="4" t="s">
        <v>113</v>
      </c>
      <c r="H106" s="4" t="s">
        <v>114</v>
      </c>
      <c r="I106" s="4"/>
      <c r="J106" s="4"/>
      <c r="K106" s="4">
        <v>203</v>
      </c>
      <c r="L106" s="4">
        <v>11</v>
      </c>
      <c r="M106" s="4">
        <v>3</v>
      </c>
      <c r="N106" s="4" t="s">
        <v>4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5">
      <c r="A107" s="4">
        <v>50</v>
      </c>
      <c r="B107" s="4">
        <v>0</v>
      </c>
      <c r="C107" s="4">
        <v>0</v>
      </c>
      <c r="D107" s="4">
        <v>1</v>
      </c>
      <c r="E107" s="4">
        <v>231</v>
      </c>
      <c r="F107" s="4">
        <f>ROUND(Source!BB94,O107)</f>
        <v>0</v>
      </c>
      <c r="G107" s="4" t="s">
        <v>115</v>
      </c>
      <c r="H107" s="4" t="s">
        <v>116</v>
      </c>
      <c r="I107" s="4"/>
      <c r="J107" s="4"/>
      <c r="K107" s="4">
        <v>231</v>
      </c>
      <c r="L107" s="4">
        <v>12</v>
      </c>
      <c r="M107" s="4">
        <v>3</v>
      </c>
      <c r="N107" s="4" t="s">
        <v>4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5">
      <c r="A108" s="4">
        <v>50</v>
      </c>
      <c r="B108" s="4">
        <v>0</v>
      </c>
      <c r="C108" s="4">
        <v>0</v>
      </c>
      <c r="D108" s="4">
        <v>1</v>
      </c>
      <c r="E108" s="4">
        <v>204</v>
      </c>
      <c r="F108" s="4">
        <f>ROUND(Source!R94,O108)</f>
        <v>0</v>
      </c>
      <c r="G108" s="4" t="s">
        <v>117</v>
      </c>
      <c r="H108" s="4" t="s">
        <v>118</v>
      </c>
      <c r="I108" s="4"/>
      <c r="J108" s="4"/>
      <c r="K108" s="4">
        <v>204</v>
      </c>
      <c r="L108" s="4">
        <v>13</v>
      </c>
      <c r="M108" s="4">
        <v>3</v>
      </c>
      <c r="N108" s="4" t="s">
        <v>4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5">
      <c r="A109" s="4">
        <v>50</v>
      </c>
      <c r="B109" s="4">
        <v>0</v>
      </c>
      <c r="C109" s="4">
        <v>0</v>
      </c>
      <c r="D109" s="4">
        <v>1</v>
      </c>
      <c r="E109" s="4">
        <v>205</v>
      </c>
      <c r="F109" s="4">
        <f>ROUND(Source!S94,O109)</f>
        <v>0</v>
      </c>
      <c r="G109" s="4" t="s">
        <v>119</v>
      </c>
      <c r="H109" s="4" t="s">
        <v>120</v>
      </c>
      <c r="I109" s="4"/>
      <c r="J109" s="4"/>
      <c r="K109" s="4">
        <v>205</v>
      </c>
      <c r="L109" s="4">
        <v>14</v>
      </c>
      <c r="M109" s="4">
        <v>3</v>
      </c>
      <c r="N109" s="4" t="s">
        <v>4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5">
      <c r="A110" s="4">
        <v>50</v>
      </c>
      <c r="B110" s="4">
        <v>0</v>
      </c>
      <c r="C110" s="4">
        <v>0</v>
      </c>
      <c r="D110" s="4">
        <v>1</v>
      </c>
      <c r="E110" s="4">
        <v>232</v>
      </c>
      <c r="F110" s="4">
        <f>ROUND(Source!BC94,O110)</f>
        <v>0</v>
      </c>
      <c r="G110" s="4" t="s">
        <v>121</v>
      </c>
      <c r="H110" s="4" t="s">
        <v>122</v>
      </c>
      <c r="I110" s="4"/>
      <c r="J110" s="4"/>
      <c r="K110" s="4">
        <v>232</v>
      </c>
      <c r="L110" s="4">
        <v>15</v>
      </c>
      <c r="M110" s="4">
        <v>3</v>
      </c>
      <c r="N110" s="4" t="s">
        <v>4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5">
      <c r="A111" s="4">
        <v>50</v>
      </c>
      <c r="B111" s="4">
        <v>0</v>
      </c>
      <c r="C111" s="4">
        <v>0</v>
      </c>
      <c r="D111" s="4">
        <v>1</v>
      </c>
      <c r="E111" s="4">
        <v>214</v>
      </c>
      <c r="F111" s="4">
        <f>ROUND(Source!AS94,O111)</f>
        <v>0</v>
      </c>
      <c r="G111" s="4" t="s">
        <v>123</v>
      </c>
      <c r="H111" s="4" t="s">
        <v>124</v>
      </c>
      <c r="I111" s="4"/>
      <c r="J111" s="4"/>
      <c r="K111" s="4">
        <v>214</v>
      </c>
      <c r="L111" s="4">
        <v>16</v>
      </c>
      <c r="M111" s="4">
        <v>3</v>
      </c>
      <c r="N111" s="4" t="s">
        <v>4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5">
      <c r="A112" s="4">
        <v>50</v>
      </c>
      <c r="B112" s="4">
        <v>0</v>
      </c>
      <c r="C112" s="4">
        <v>0</v>
      </c>
      <c r="D112" s="4">
        <v>1</v>
      </c>
      <c r="E112" s="4">
        <v>215</v>
      </c>
      <c r="F112" s="4">
        <f>ROUND(Source!AT94,O112)</f>
        <v>0</v>
      </c>
      <c r="G112" s="4" t="s">
        <v>125</v>
      </c>
      <c r="H112" s="4" t="s">
        <v>126</v>
      </c>
      <c r="I112" s="4"/>
      <c r="J112" s="4"/>
      <c r="K112" s="4">
        <v>215</v>
      </c>
      <c r="L112" s="4">
        <v>17</v>
      </c>
      <c r="M112" s="4">
        <v>3</v>
      </c>
      <c r="N112" s="4" t="s">
        <v>4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06" x14ac:dyDescent="0.25">
      <c r="A113" s="4">
        <v>50</v>
      </c>
      <c r="B113" s="4">
        <v>0</v>
      </c>
      <c r="C113" s="4">
        <v>0</v>
      </c>
      <c r="D113" s="4">
        <v>1</v>
      </c>
      <c r="E113" s="4">
        <v>217</v>
      </c>
      <c r="F113" s="4">
        <f>ROUND(Source!AU94,O113)</f>
        <v>0</v>
      </c>
      <c r="G113" s="4" t="s">
        <v>127</v>
      </c>
      <c r="H113" s="4" t="s">
        <v>128</v>
      </c>
      <c r="I113" s="4"/>
      <c r="J113" s="4"/>
      <c r="K113" s="4">
        <v>217</v>
      </c>
      <c r="L113" s="4">
        <v>18</v>
      </c>
      <c r="M113" s="4">
        <v>3</v>
      </c>
      <c r="N113" s="4" t="s">
        <v>4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06" x14ac:dyDescent="0.25">
      <c r="A114" s="4">
        <v>50</v>
      </c>
      <c r="B114" s="4">
        <v>0</v>
      </c>
      <c r="C114" s="4">
        <v>0</v>
      </c>
      <c r="D114" s="4">
        <v>1</v>
      </c>
      <c r="E114" s="4">
        <v>230</v>
      </c>
      <c r="F114" s="4">
        <f>ROUND(Source!BA94,O114)</f>
        <v>0</v>
      </c>
      <c r="G114" s="4" t="s">
        <v>129</v>
      </c>
      <c r="H114" s="4" t="s">
        <v>130</v>
      </c>
      <c r="I114" s="4"/>
      <c r="J114" s="4"/>
      <c r="K114" s="4">
        <v>230</v>
      </c>
      <c r="L114" s="4">
        <v>19</v>
      </c>
      <c r="M114" s="4">
        <v>3</v>
      </c>
      <c r="N114" s="4" t="s">
        <v>4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06" x14ac:dyDescent="0.25">
      <c r="A115" s="4">
        <v>50</v>
      </c>
      <c r="B115" s="4">
        <v>0</v>
      </c>
      <c r="C115" s="4">
        <v>0</v>
      </c>
      <c r="D115" s="4">
        <v>1</v>
      </c>
      <c r="E115" s="4">
        <v>206</v>
      </c>
      <c r="F115" s="4">
        <f>ROUND(Source!T94,O115)</f>
        <v>0</v>
      </c>
      <c r="G115" s="4" t="s">
        <v>131</v>
      </c>
      <c r="H115" s="4" t="s">
        <v>132</v>
      </c>
      <c r="I115" s="4"/>
      <c r="J115" s="4"/>
      <c r="K115" s="4">
        <v>206</v>
      </c>
      <c r="L115" s="4">
        <v>20</v>
      </c>
      <c r="M115" s="4">
        <v>3</v>
      </c>
      <c r="N115" s="4" t="s">
        <v>4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06" x14ac:dyDescent="0.25">
      <c r="A116" s="4">
        <v>50</v>
      </c>
      <c r="B116" s="4">
        <v>0</v>
      </c>
      <c r="C116" s="4">
        <v>0</v>
      </c>
      <c r="D116" s="4">
        <v>1</v>
      </c>
      <c r="E116" s="4">
        <v>207</v>
      </c>
      <c r="F116" s="4">
        <f>Source!U94</f>
        <v>0</v>
      </c>
      <c r="G116" s="4" t="s">
        <v>133</v>
      </c>
      <c r="H116" s="4" t="s">
        <v>134</v>
      </c>
      <c r="I116" s="4"/>
      <c r="J116" s="4"/>
      <c r="K116" s="4">
        <v>207</v>
      </c>
      <c r="L116" s="4">
        <v>21</v>
      </c>
      <c r="M116" s="4">
        <v>3</v>
      </c>
      <c r="N116" s="4" t="s">
        <v>4</v>
      </c>
      <c r="O116" s="4">
        <v>-1</v>
      </c>
      <c r="P116" s="4"/>
      <c r="Q116" s="4"/>
      <c r="R116" s="4"/>
      <c r="S116" s="4"/>
      <c r="T116" s="4"/>
      <c r="U116" s="4"/>
      <c r="V116" s="4"/>
      <c r="W116" s="4"/>
    </row>
    <row r="117" spans="1:206" x14ac:dyDescent="0.25">
      <c r="A117" s="4">
        <v>50</v>
      </c>
      <c r="B117" s="4">
        <v>0</v>
      </c>
      <c r="C117" s="4">
        <v>0</v>
      </c>
      <c r="D117" s="4">
        <v>1</v>
      </c>
      <c r="E117" s="4">
        <v>208</v>
      </c>
      <c r="F117" s="4">
        <f>Source!V94</f>
        <v>0</v>
      </c>
      <c r="G117" s="4" t="s">
        <v>135</v>
      </c>
      <c r="H117" s="4" t="s">
        <v>136</v>
      </c>
      <c r="I117" s="4"/>
      <c r="J117" s="4"/>
      <c r="K117" s="4">
        <v>208</v>
      </c>
      <c r="L117" s="4">
        <v>22</v>
      </c>
      <c r="M117" s="4">
        <v>3</v>
      </c>
      <c r="N117" s="4" t="s">
        <v>4</v>
      </c>
      <c r="O117" s="4">
        <v>-1</v>
      </c>
      <c r="P117" s="4"/>
      <c r="Q117" s="4"/>
      <c r="R117" s="4"/>
      <c r="S117" s="4"/>
      <c r="T117" s="4"/>
      <c r="U117" s="4"/>
      <c r="V117" s="4"/>
      <c r="W117" s="4"/>
    </row>
    <row r="118" spans="1:206" x14ac:dyDescent="0.25">
      <c r="A118" s="4">
        <v>50</v>
      </c>
      <c r="B118" s="4">
        <v>0</v>
      </c>
      <c r="C118" s="4">
        <v>0</v>
      </c>
      <c r="D118" s="4">
        <v>1</v>
      </c>
      <c r="E118" s="4">
        <v>209</v>
      </c>
      <c r="F118" s="4">
        <f>ROUND(Source!W94,O118)</f>
        <v>0</v>
      </c>
      <c r="G118" s="4" t="s">
        <v>137</v>
      </c>
      <c r="H118" s="4" t="s">
        <v>138</v>
      </c>
      <c r="I118" s="4"/>
      <c r="J118" s="4"/>
      <c r="K118" s="4">
        <v>209</v>
      </c>
      <c r="L118" s="4">
        <v>23</v>
      </c>
      <c r="M118" s="4">
        <v>3</v>
      </c>
      <c r="N118" s="4" t="s">
        <v>4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06" x14ac:dyDescent="0.25">
      <c r="A119" s="4">
        <v>50</v>
      </c>
      <c r="B119" s="4">
        <v>0</v>
      </c>
      <c r="C119" s="4">
        <v>0</v>
      </c>
      <c r="D119" s="4">
        <v>1</v>
      </c>
      <c r="E119" s="4">
        <v>233</v>
      </c>
      <c r="F119" s="4">
        <f>ROUND(Source!BD94,O119)</f>
        <v>0</v>
      </c>
      <c r="G119" s="4" t="s">
        <v>139</v>
      </c>
      <c r="H119" s="4" t="s">
        <v>140</v>
      </c>
      <c r="I119" s="4"/>
      <c r="J119" s="4"/>
      <c r="K119" s="4">
        <v>233</v>
      </c>
      <c r="L119" s="4">
        <v>24</v>
      </c>
      <c r="M119" s="4">
        <v>3</v>
      </c>
      <c r="N119" s="4" t="s">
        <v>4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06" x14ac:dyDescent="0.25">
      <c r="A120" s="4">
        <v>50</v>
      </c>
      <c r="B120" s="4">
        <v>0</v>
      </c>
      <c r="C120" s="4">
        <v>0</v>
      </c>
      <c r="D120" s="4">
        <v>1</v>
      </c>
      <c r="E120" s="4">
        <v>210</v>
      </c>
      <c r="F120" s="4">
        <f>ROUND(Source!X94,O120)</f>
        <v>0</v>
      </c>
      <c r="G120" s="4" t="s">
        <v>141</v>
      </c>
      <c r="H120" s="4" t="s">
        <v>142</v>
      </c>
      <c r="I120" s="4"/>
      <c r="J120" s="4"/>
      <c r="K120" s="4">
        <v>210</v>
      </c>
      <c r="L120" s="4">
        <v>25</v>
      </c>
      <c r="M120" s="4">
        <v>3</v>
      </c>
      <c r="N120" s="4" t="s">
        <v>4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06" x14ac:dyDescent="0.25">
      <c r="A121" s="4">
        <v>50</v>
      </c>
      <c r="B121" s="4">
        <v>0</v>
      </c>
      <c r="C121" s="4">
        <v>0</v>
      </c>
      <c r="D121" s="4">
        <v>1</v>
      </c>
      <c r="E121" s="4">
        <v>211</v>
      </c>
      <c r="F121" s="4">
        <f>ROUND(Source!Y94,O121)</f>
        <v>0</v>
      </c>
      <c r="G121" s="4" t="s">
        <v>143</v>
      </c>
      <c r="H121" s="4" t="s">
        <v>144</v>
      </c>
      <c r="I121" s="4"/>
      <c r="J121" s="4"/>
      <c r="K121" s="4">
        <v>211</v>
      </c>
      <c r="L121" s="4">
        <v>26</v>
      </c>
      <c r="M121" s="4">
        <v>3</v>
      </c>
      <c r="N121" s="4" t="s">
        <v>4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06" x14ac:dyDescent="0.25">
      <c r="A122" s="4">
        <v>50</v>
      </c>
      <c r="B122" s="4">
        <v>0</v>
      </c>
      <c r="C122" s="4">
        <v>0</v>
      </c>
      <c r="D122" s="4">
        <v>1</v>
      </c>
      <c r="E122" s="4">
        <v>224</v>
      </c>
      <c r="F122" s="4">
        <f>ROUND(Source!AR94,O122)</f>
        <v>454918.13</v>
      </c>
      <c r="G122" s="4" t="s">
        <v>145</v>
      </c>
      <c r="H122" s="4" t="s">
        <v>146</v>
      </c>
      <c r="I122" s="4"/>
      <c r="J122" s="4"/>
      <c r="K122" s="4">
        <v>224</v>
      </c>
      <c r="L122" s="4">
        <v>27</v>
      </c>
      <c r="M122" s="4">
        <v>3</v>
      </c>
      <c r="N122" s="4" t="s">
        <v>4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4" spans="1:206" x14ac:dyDescent="0.25">
      <c r="A124" s="1">
        <v>4</v>
      </c>
      <c r="B124" s="1">
        <v>1</v>
      </c>
      <c r="C124" s="1"/>
      <c r="D124" s="1">
        <f>ROW(A128)</f>
        <v>128</v>
      </c>
      <c r="E124" s="1"/>
      <c r="F124" s="1" t="s">
        <v>33</v>
      </c>
      <c r="G124" s="1" t="s">
        <v>194</v>
      </c>
      <c r="H124" s="1" t="s">
        <v>4</v>
      </c>
      <c r="I124" s="1">
        <v>0</v>
      </c>
      <c r="J124" s="1"/>
      <c r="K124" s="1">
        <v>-1</v>
      </c>
      <c r="L124" s="1"/>
      <c r="M124" s="1"/>
      <c r="N124" s="1"/>
      <c r="O124" s="1"/>
      <c r="P124" s="1"/>
      <c r="Q124" s="1"/>
      <c r="R124" s="1"/>
      <c r="S124" s="1"/>
      <c r="T124" s="1"/>
      <c r="U124" s="1" t="s">
        <v>4</v>
      </c>
      <c r="V124" s="1">
        <v>0</v>
      </c>
      <c r="W124" s="1"/>
      <c r="X124" s="1"/>
      <c r="Y124" s="1"/>
      <c r="Z124" s="1"/>
      <c r="AA124" s="1"/>
      <c r="AB124" s="1" t="s">
        <v>4</v>
      </c>
      <c r="AC124" s="1" t="s">
        <v>4</v>
      </c>
      <c r="AD124" s="1" t="s">
        <v>4</v>
      </c>
      <c r="AE124" s="1" t="s">
        <v>4</v>
      </c>
      <c r="AF124" s="1" t="s">
        <v>4</v>
      </c>
      <c r="AG124" s="1" t="s">
        <v>4</v>
      </c>
      <c r="AH124" s="1"/>
      <c r="AI124" s="1"/>
      <c r="AJ124" s="1"/>
      <c r="AK124" s="1"/>
      <c r="AL124" s="1"/>
      <c r="AM124" s="1"/>
      <c r="AN124" s="1"/>
      <c r="AO124" s="1"/>
      <c r="AP124" s="1" t="s">
        <v>4</v>
      </c>
      <c r="AQ124" s="1" t="s">
        <v>4</v>
      </c>
      <c r="AR124" s="1" t="s">
        <v>4</v>
      </c>
      <c r="AS124" s="1"/>
      <c r="AT124" s="1"/>
      <c r="AU124" s="1"/>
      <c r="AV124" s="1"/>
      <c r="AW124" s="1"/>
      <c r="AX124" s="1"/>
      <c r="AY124" s="1"/>
      <c r="AZ124" s="1" t="s">
        <v>4</v>
      </c>
      <c r="BA124" s="1"/>
      <c r="BB124" s="1" t="s">
        <v>4</v>
      </c>
      <c r="BC124" s="1" t="s">
        <v>4</v>
      </c>
      <c r="BD124" s="1" t="s">
        <v>4</v>
      </c>
      <c r="BE124" s="1" t="s">
        <v>4</v>
      </c>
      <c r="BF124" s="1" t="s">
        <v>4</v>
      </c>
      <c r="BG124" s="1" t="s">
        <v>4</v>
      </c>
      <c r="BH124" s="1" t="s">
        <v>4</v>
      </c>
      <c r="BI124" s="1" t="s">
        <v>4</v>
      </c>
      <c r="BJ124" s="1" t="s">
        <v>4</v>
      </c>
      <c r="BK124" s="1" t="s">
        <v>4</v>
      </c>
      <c r="BL124" s="1" t="s">
        <v>4</v>
      </c>
      <c r="BM124" s="1" t="s">
        <v>4</v>
      </c>
      <c r="BN124" s="1" t="s">
        <v>4</v>
      </c>
      <c r="BO124" s="1" t="s">
        <v>4</v>
      </c>
      <c r="BP124" s="1" t="s">
        <v>4</v>
      </c>
      <c r="BQ124" s="1"/>
      <c r="BR124" s="1"/>
      <c r="BS124" s="1"/>
      <c r="BT124" s="1"/>
      <c r="BU124" s="1"/>
      <c r="BV124" s="1"/>
      <c r="BW124" s="1"/>
      <c r="BX124" s="1">
        <v>0</v>
      </c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>
        <v>0</v>
      </c>
    </row>
    <row r="126" spans="1:206" x14ac:dyDescent="0.25">
      <c r="A126" s="2">
        <v>52</v>
      </c>
      <c r="B126" s="2">
        <f t="shared" ref="B126:G126" si="109">B128</f>
        <v>1</v>
      </c>
      <c r="C126" s="2">
        <f t="shared" si="109"/>
        <v>4</v>
      </c>
      <c r="D126" s="2">
        <f t="shared" si="109"/>
        <v>124</v>
      </c>
      <c r="E126" s="2">
        <f t="shared" si="109"/>
        <v>0</v>
      </c>
      <c r="F126" s="2" t="str">
        <f t="shared" si="109"/>
        <v>3</v>
      </c>
      <c r="G126" s="2" t="str">
        <f t="shared" si="109"/>
        <v>Резерв</v>
      </c>
      <c r="H126" s="2"/>
      <c r="I126" s="2"/>
      <c r="J126" s="2"/>
      <c r="K126" s="2"/>
      <c r="L126" s="2"/>
      <c r="M126" s="2"/>
      <c r="N126" s="2"/>
      <c r="O126" s="2">
        <f t="shared" ref="O126:AT126" si="110">O128</f>
        <v>0</v>
      </c>
      <c r="P126" s="2">
        <f t="shared" si="110"/>
        <v>0</v>
      </c>
      <c r="Q126" s="2">
        <f t="shared" si="110"/>
        <v>0</v>
      </c>
      <c r="R126" s="2">
        <f t="shared" si="110"/>
        <v>0</v>
      </c>
      <c r="S126" s="2">
        <f t="shared" si="110"/>
        <v>0</v>
      </c>
      <c r="T126" s="2">
        <f t="shared" si="110"/>
        <v>0</v>
      </c>
      <c r="U126" s="2">
        <f t="shared" si="110"/>
        <v>0</v>
      </c>
      <c r="V126" s="2">
        <f t="shared" si="110"/>
        <v>0</v>
      </c>
      <c r="W126" s="2">
        <f t="shared" si="110"/>
        <v>0</v>
      </c>
      <c r="X126" s="2">
        <f t="shared" si="110"/>
        <v>0</v>
      </c>
      <c r="Y126" s="2">
        <f t="shared" si="110"/>
        <v>0</v>
      </c>
      <c r="Z126" s="2">
        <f t="shared" si="110"/>
        <v>0</v>
      </c>
      <c r="AA126" s="2">
        <f t="shared" si="110"/>
        <v>0</v>
      </c>
      <c r="AB126" s="2">
        <f t="shared" si="110"/>
        <v>0</v>
      </c>
      <c r="AC126" s="2">
        <f t="shared" si="110"/>
        <v>0</v>
      </c>
      <c r="AD126" s="2">
        <f t="shared" si="110"/>
        <v>0</v>
      </c>
      <c r="AE126" s="2">
        <f t="shared" si="110"/>
        <v>0</v>
      </c>
      <c r="AF126" s="2">
        <f t="shared" si="110"/>
        <v>0</v>
      </c>
      <c r="AG126" s="2">
        <f t="shared" si="110"/>
        <v>0</v>
      </c>
      <c r="AH126" s="2">
        <f t="shared" si="110"/>
        <v>0</v>
      </c>
      <c r="AI126" s="2">
        <f t="shared" si="110"/>
        <v>0</v>
      </c>
      <c r="AJ126" s="2">
        <f t="shared" si="110"/>
        <v>0</v>
      </c>
      <c r="AK126" s="2">
        <f t="shared" si="110"/>
        <v>0</v>
      </c>
      <c r="AL126" s="2">
        <f t="shared" si="110"/>
        <v>0</v>
      </c>
      <c r="AM126" s="2">
        <f t="shared" si="110"/>
        <v>0</v>
      </c>
      <c r="AN126" s="2">
        <f t="shared" si="110"/>
        <v>0</v>
      </c>
      <c r="AO126" s="2">
        <f t="shared" si="110"/>
        <v>0</v>
      </c>
      <c r="AP126" s="2">
        <f t="shared" si="110"/>
        <v>0</v>
      </c>
      <c r="AQ126" s="2">
        <f t="shared" si="110"/>
        <v>0</v>
      </c>
      <c r="AR126" s="2">
        <f t="shared" si="110"/>
        <v>0</v>
      </c>
      <c r="AS126" s="2">
        <f t="shared" si="110"/>
        <v>0</v>
      </c>
      <c r="AT126" s="2">
        <f t="shared" si="110"/>
        <v>0</v>
      </c>
      <c r="AU126" s="2">
        <f t="shared" ref="AU126:BZ126" si="111">AU128</f>
        <v>0</v>
      </c>
      <c r="AV126" s="2">
        <f t="shared" si="111"/>
        <v>0</v>
      </c>
      <c r="AW126" s="2">
        <f t="shared" si="111"/>
        <v>0</v>
      </c>
      <c r="AX126" s="2">
        <f t="shared" si="111"/>
        <v>0</v>
      </c>
      <c r="AY126" s="2">
        <f t="shared" si="111"/>
        <v>0</v>
      </c>
      <c r="AZ126" s="2">
        <f t="shared" si="111"/>
        <v>0</v>
      </c>
      <c r="BA126" s="2">
        <f t="shared" si="111"/>
        <v>0</v>
      </c>
      <c r="BB126" s="2">
        <f t="shared" si="111"/>
        <v>0</v>
      </c>
      <c r="BC126" s="2">
        <f t="shared" si="111"/>
        <v>0</v>
      </c>
      <c r="BD126" s="2">
        <f t="shared" si="111"/>
        <v>0</v>
      </c>
      <c r="BE126" s="2">
        <f t="shared" si="111"/>
        <v>0</v>
      </c>
      <c r="BF126" s="2">
        <f t="shared" si="111"/>
        <v>0</v>
      </c>
      <c r="BG126" s="2">
        <f t="shared" si="111"/>
        <v>0</v>
      </c>
      <c r="BH126" s="2">
        <f t="shared" si="111"/>
        <v>0</v>
      </c>
      <c r="BI126" s="2">
        <f t="shared" si="111"/>
        <v>0</v>
      </c>
      <c r="BJ126" s="2">
        <f t="shared" si="111"/>
        <v>0</v>
      </c>
      <c r="BK126" s="2">
        <f t="shared" si="111"/>
        <v>0</v>
      </c>
      <c r="BL126" s="2">
        <f t="shared" si="111"/>
        <v>0</v>
      </c>
      <c r="BM126" s="2">
        <f t="shared" si="111"/>
        <v>0</v>
      </c>
      <c r="BN126" s="2">
        <f t="shared" si="111"/>
        <v>0</v>
      </c>
      <c r="BO126" s="2">
        <f t="shared" si="111"/>
        <v>0</v>
      </c>
      <c r="BP126" s="2">
        <f t="shared" si="111"/>
        <v>0</v>
      </c>
      <c r="BQ126" s="2">
        <f t="shared" si="111"/>
        <v>0</v>
      </c>
      <c r="BR126" s="2">
        <f t="shared" si="111"/>
        <v>0</v>
      </c>
      <c r="BS126" s="2">
        <f t="shared" si="111"/>
        <v>0</v>
      </c>
      <c r="BT126" s="2">
        <f t="shared" si="111"/>
        <v>0</v>
      </c>
      <c r="BU126" s="2">
        <f t="shared" si="111"/>
        <v>0</v>
      </c>
      <c r="BV126" s="2">
        <f t="shared" si="111"/>
        <v>0</v>
      </c>
      <c r="BW126" s="2">
        <f t="shared" si="111"/>
        <v>0</v>
      </c>
      <c r="BX126" s="2">
        <f t="shared" si="111"/>
        <v>0</v>
      </c>
      <c r="BY126" s="2">
        <f t="shared" si="111"/>
        <v>0</v>
      </c>
      <c r="BZ126" s="2">
        <f t="shared" si="111"/>
        <v>0</v>
      </c>
      <c r="CA126" s="2">
        <f t="shared" ref="CA126:DF126" si="112">CA128</f>
        <v>0</v>
      </c>
      <c r="CB126" s="2">
        <f t="shared" si="112"/>
        <v>0</v>
      </c>
      <c r="CC126" s="2">
        <f t="shared" si="112"/>
        <v>0</v>
      </c>
      <c r="CD126" s="2">
        <f t="shared" si="112"/>
        <v>0</v>
      </c>
      <c r="CE126" s="2">
        <f t="shared" si="112"/>
        <v>0</v>
      </c>
      <c r="CF126" s="2">
        <f t="shared" si="112"/>
        <v>0</v>
      </c>
      <c r="CG126" s="2">
        <f t="shared" si="112"/>
        <v>0</v>
      </c>
      <c r="CH126" s="2">
        <f t="shared" si="112"/>
        <v>0</v>
      </c>
      <c r="CI126" s="2">
        <f t="shared" si="112"/>
        <v>0</v>
      </c>
      <c r="CJ126" s="2">
        <f t="shared" si="112"/>
        <v>0</v>
      </c>
      <c r="CK126" s="2">
        <f t="shared" si="112"/>
        <v>0</v>
      </c>
      <c r="CL126" s="2">
        <f t="shared" si="112"/>
        <v>0</v>
      </c>
      <c r="CM126" s="2">
        <f t="shared" si="112"/>
        <v>0</v>
      </c>
      <c r="CN126" s="2">
        <f t="shared" si="112"/>
        <v>0</v>
      </c>
      <c r="CO126" s="2">
        <f t="shared" si="112"/>
        <v>0</v>
      </c>
      <c r="CP126" s="2">
        <f t="shared" si="112"/>
        <v>0</v>
      </c>
      <c r="CQ126" s="2">
        <f t="shared" si="112"/>
        <v>0</v>
      </c>
      <c r="CR126" s="2">
        <f t="shared" si="112"/>
        <v>0</v>
      </c>
      <c r="CS126" s="2">
        <f t="shared" si="112"/>
        <v>0</v>
      </c>
      <c r="CT126" s="2">
        <f t="shared" si="112"/>
        <v>0</v>
      </c>
      <c r="CU126" s="2">
        <f t="shared" si="112"/>
        <v>0</v>
      </c>
      <c r="CV126" s="2">
        <f t="shared" si="112"/>
        <v>0</v>
      </c>
      <c r="CW126" s="2">
        <f t="shared" si="112"/>
        <v>0</v>
      </c>
      <c r="CX126" s="2">
        <f t="shared" si="112"/>
        <v>0</v>
      </c>
      <c r="CY126" s="2">
        <f t="shared" si="112"/>
        <v>0</v>
      </c>
      <c r="CZ126" s="2">
        <f t="shared" si="112"/>
        <v>0</v>
      </c>
      <c r="DA126" s="2">
        <f t="shared" si="112"/>
        <v>0</v>
      </c>
      <c r="DB126" s="2">
        <f t="shared" si="112"/>
        <v>0</v>
      </c>
      <c r="DC126" s="2">
        <f t="shared" si="112"/>
        <v>0</v>
      </c>
      <c r="DD126" s="2">
        <f t="shared" si="112"/>
        <v>0</v>
      </c>
      <c r="DE126" s="2">
        <f t="shared" si="112"/>
        <v>0</v>
      </c>
      <c r="DF126" s="2">
        <f t="shared" si="112"/>
        <v>0</v>
      </c>
      <c r="DG126" s="3">
        <f t="shared" ref="DG126:EL126" si="113">DG128</f>
        <v>0</v>
      </c>
      <c r="DH126" s="3">
        <f t="shared" si="113"/>
        <v>0</v>
      </c>
      <c r="DI126" s="3">
        <f t="shared" si="113"/>
        <v>0</v>
      </c>
      <c r="DJ126" s="3">
        <f t="shared" si="113"/>
        <v>0</v>
      </c>
      <c r="DK126" s="3">
        <f t="shared" si="113"/>
        <v>0</v>
      </c>
      <c r="DL126" s="3">
        <f t="shared" si="113"/>
        <v>0</v>
      </c>
      <c r="DM126" s="3">
        <f t="shared" si="113"/>
        <v>0</v>
      </c>
      <c r="DN126" s="3">
        <f t="shared" si="113"/>
        <v>0</v>
      </c>
      <c r="DO126" s="3">
        <f t="shared" si="113"/>
        <v>0</v>
      </c>
      <c r="DP126" s="3">
        <f t="shared" si="113"/>
        <v>0</v>
      </c>
      <c r="DQ126" s="3">
        <f t="shared" si="113"/>
        <v>0</v>
      </c>
      <c r="DR126" s="3">
        <f t="shared" si="113"/>
        <v>0</v>
      </c>
      <c r="DS126" s="3">
        <f t="shared" si="113"/>
        <v>0</v>
      </c>
      <c r="DT126" s="3">
        <f t="shared" si="113"/>
        <v>0</v>
      </c>
      <c r="DU126" s="3">
        <f t="shared" si="113"/>
        <v>0</v>
      </c>
      <c r="DV126" s="3">
        <f t="shared" si="113"/>
        <v>0</v>
      </c>
      <c r="DW126" s="3">
        <f t="shared" si="113"/>
        <v>0</v>
      </c>
      <c r="DX126" s="3">
        <f t="shared" si="113"/>
        <v>0</v>
      </c>
      <c r="DY126" s="3">
        <f t="shared" si="113"/>
        <v>0</v>
      </c>
      <c r="DZ126" s="3">
        <f t="shared" si="113"/>
        <v>0</v>
      </c>
      <c r="EA126" s="3">
        <f t="shared" si="113"/>
        <v>0</v>
      </c>
      <c r="EB126" s="3">
        <f t="shared" si="113"/>
        <v>0</v>
      </c>
      <c r="EC126" s="3">
        <f t="shared" si="113"/>
        <v>0</v>
      </c>
      <c r="ED126" s="3">
        <f t="shared" si="113"/>
        <v>0</v>
      </c>
      <c r="EE126" s="3">
        <f t="shared" si="113"/>
        <v>0</v>
      </c>
      <c r="EF126" s="3">
        <f t="shared" si="113"/>
        <v>0</v>
      </c>
      <c r="EG126" s="3">
        <f t="shared" si="113"/>
        <v>0</v>
      </c>
      <c r="EH126" s="3">
        <f t="shared" si="113"/>
        <v>0</v>
      </c>
      <c r="EI126" s="3">
        <f t="shared" si="113"/>
        <v>0</v>
      </c>
      <c r="EJ126" s="3">
        <f t="shared" si="113"/>
        <v>0</v>
      </c>
      <c r="EK126" s="3">
        <f t="shared" si="113"/>
        <v>0</v>
      </c>
      <c r="EL126" s="3">
        <f t="shared" si="113"/>
        <v>0</v>
      </c>
      <c r="EM126" s="3">
        <f t="shared" ref="EM126:FR126" si="114">EM128</f>
        <v>0</v>
      </c>
      <c r="EN126" s="3">
        <f t="shared" si="114"/>
        <v>0</v>
      </c>
      <c r="EO126" s="3">
        <f t="shared" si="114"/>
        <v>0</v>
      </c>
      <c r="EP126" s="3">
        <f t="shared" si="114"/>
        <v>0</v>
      </c>
      <c r="EQ126" s="3">
        <f t="shared" si="114"/>
        <v>0</v>
      </c>
      <c r="ER126" s="3">
        <f t="shared" si="114"/>
        <v>0</v>
      </c>
      <c r="ES126" s="3">
        <f t="shared" si="114"/>
        <v>0</v>
      </c>
      <c r="ET126" s="3">
        <f t="shared" si="114"/>
        <v>0</v>
      </c>
      <c r="EU126" s="3">
        <f t="shared" si="114"/>
        <v>0</v>
      </c>
      <c r="EV126" s="3">
        <f t="shared" si="114"/>
        <v>0</v>
      </c>
      <c r="EW126" s="3">
        <f t="shared" si="114"/>
        <v>0</v>
      </c>
      <c r="EX126" s="3">
        <f t="shared" si="114"/>
        <v>0</v>
      </c>
      <c r="EY126" s="3">
        <f t="shared" si="114"/>
        <v>0</v>
      </c>
      <c r="EZ126" s="3">
        <f t="shared" si="114"/>
        <v>0</v>
      </c>
      <c r="FA126" s="3">
        <f t="shared" si="114"/>
        <v>0</v>
      </c>
      <c r="FB126" s="3">
        <f t="shared" si="114"/>
        <v>0</v>
      </c>
      <c r="FC126" s="3">
        <f t="shared" si="114"/>
        <v>0</v>
      </c>
      <c r="FD126" s="3">
        <f t="shared" si="114"/>
        <v>0</v>
      </c>
      <c r="FE126" s="3">
        <f t="shared" si="114"/>
        <v>0</v>
      </c>
      <c r="FF126" s="3">
        <f t="shared" si="114"/>
        <v>0</v>
      </c>
      <c r="FG126" s="3">
        <f t="shared" si="114"/>
        <v>0</v>
      </c>
      <c r="FH126" s="3">
        <f t="shared" si="114"/>
        <v>0</v>
      </c>
      <c r="FI126" s="3">
        <f t="shared" si="114"/>
        <v>0</v>
      </c>
      <c r="FJ126" s="3">
        <f t="shared" si="114"/>
        <v>0</v>
      </c>
      <c r="FK126" s="3">
        <f t="shared" si="114"/>
        <v>0</v>
      </c>
      <c r="FL126" s="3">
        <f t="shared" si="114"/>
        <v>0</v>
      </c>
      <c r="FM126" s="3">
        <f t="shared" si="114"/>
        <v>0</v>
      </c>
      <c r="FN126" s="3">
        <f t="shared" si="114"/>
        <v>0</v>
      </c>
      <c r="FO126" s="3">
        <f t="shared" si="114"/>
        <v>0</v>
      </c>
      <c r="FP126" s="3">
        <f t="shared" si="114"/>
        <v>0</v>
      </c>
      <c r="FQ126" s="3">
        <f t="shared" si="114"/>
        <v>0</v>
      </c>
      <c r="FR126" s="3">
        <f t="shared" si="114"/>
        <v>0</v>
      </c>
      <c r="FS126" s="3">
        <f t="shared" ref="FS126:GX126" si="115">FS128</f>
        <v>0</v>
      </c>
      <c r="FT126" s="3">
        <f t="shared" si="115"/>
        <v>0</v>
      </c>
      <c r="FU126" s="3">
        <f t="shared" si="115"/>
        <v>0</v>
      </c>
      <c r="FV126" s="3">
        <f t="shared" si="115"/>
        <v>0</v>
      </c>
      <c r="FW126" s="3">
        <f t="shared" si="115"/>
        <v>0</v>
      </c>
      <c r="FX126" s="3">
        <f t="shared" si="115"/>
        <v>0</v>
      </c>
      <c r="FY126" s="3">
        <f t="shared" si="115"/>
        <v>0</v>
      </c>
      <c r="FZ126" s="3">
        <f t="shared" si="115"/>
        <v>0</v>
      </c>
      <c r="GA126" s="3">
        <f t="shared" si="115"/>
        <v>0</v>
      </c>
      <c r="GB126" s="3">
        <f t="shared" si="115"/>
        <v>0</v>
      </c>
      <c r="GC126" s="3">
        <f t="shared" si="115"/>
        <v>0</v>
      </c>
      <c r="GD126" s="3">
        <f t="shared" si="115"/>
        <v>0</v>
      </c>
      <c r="GE126" s="3">
        <f t="shared" si="115"/>
        <v>0</v>
      </c>
      <c r="GF126" s="3">
        <f t="shared" si="115"/>
        <v>0</v>
      </c>
      <c r="GG126" s="3">
        <f t="shared" si="115"/>
        <v>0</v>
      </c>
      <c r="GH126" s="3">
        <f t="shared" si="115"/>
        <v>0</v>
      </c>
      <c r="GI126" s="3">
        <f t="shared" si="115"/>
        <v>0</v>
      </c>
      <c r="GJ126" s="3">
        <f t="shared" si="115"/>
        <v>0</v>
      </c>
      <c r="GK126" s="3">
        <f t="shared" si="115"/>
        <v>0</v>
      </c>
      <c r="GL126" s="3">
        <f t="shared" si="115"/>
        <v>0</v>
      </c>
      <c r="GM126" s="3">
        <f t="shared" si="115"/>
        <v>0</v>
      </c>
      <c r="GN126" s="3">
        <f t="shared" si="115"/>
        <v>0</v>
      </c>
      <c r="GO126" s="3">
        <f t="shared" si="115"/>
        <v>0</v>
      </c>
      <c r="GP126" s="3">
        <f t="shared" si="115"/>
        <v>0</v>
      </c>
      <c r="GQ126" s="3">
        <f t="shared" si="115"/>
        <v>0</v>
      </c>
      <c r="GR126" s="3">
        <f t="shared" si="115"/>
        <v>0</v>
      </c>
      <c r="GS126" s="3">
        <f t="shared" si="115"/>
        <v>0</v>
      </c>
      <c r="GT126" s="3">
        <f t="shared" si="115"/>
        <v>0</v>
      </c>
      <c r="GU126" s="3">
        <f t="shared" si="115"/>
        <v>0</v>
      </c>
      <c r="GV126" s="3">
        <f t="shared" si="115"/>
        <v>0</v>
      </c>
      <c r="GW126" s="3">
        <f t="shared" si="115"/>
        <v>0</v>
      </c>
      <c r="GX126" s="3">
        <f t="shared" si="115"/>
        <v>0</v>
      </c>
    </row>
    <row r="128" spans="1:206" x14ac:dyDescent="0.25">
      <c r="A128" s="2">
        <v>51</v>
      </c>
      <c r="B128" s="2">
        <f>B124</f>
        <v>1</v>
      </c>
      <c r="C128" s="2">
        <f>A124</f>
        <v>4</v>
      </c>
      <c r="D128" s="2">
        <f>ROW(A124)</f>
        <v>124</v>
      </c>
      <c r="E128" s="2"/>
      <c r="F128" s="2" t="str">
        <f>IF(F124&lt;&gt;"",F124,"")</f>
        <v>3</v>
      </c>
      <c r="G128" s="2" t="str">
        <f>IF(G124&lt;&gt;"",G124,"")</f>
        <v>Резерв</v>
      </c>
      <c r="H128" s="2">
        <v>0</v>
      </c>
      <c r="I128" s="2"/>
      <c r="J128" s="2"/>
      <c r="K128" s="2"/>
      <c r="L128" s="2"/>
      <c r="M128" s="2"/>
      <c r="N128" s="2"/>
      <c r="O128" s="2">
        <f t="shared" ref="O128:T128" si="116">ROUND(AB128,2)</f>
        <v>0</v>
      </c>
      <c r="P128" s="2">
        <f t="shared" si="116"/>
        <v>0</v>
      </c>
      <c r="Q128" s="2">
        <f t="shared" si="116"/>
        <v>0</v>
      </c>
      <c r="R128" s="2">
        <f t="shared" si="116"/>
        <v>0</v>
      </c>
      <c r="S128" s="2">
        <f t="shared" si="116"/>
        <v>0</v>
      </c>
      <c r="T128" s="2">
        <f t="shared" si="116"/>
        <v>0</v>
      </c>
      <c r="U128" s="2">
        <f>AH128</f>
        <v>0</v>
      </c>
      <c r="V128" s="2">
        <f>AI128</f>
        <v>0</v>
      </c>
      <c r="W128" s="2">
        <f>ROUND(AJ128,2)</f>
        <v>0</v>
      </c>
      <c r="X128" s="2">
        <f>ROUND(AK128,2)</f>
        <v>0</v>
      </c>
      <c r="Y128" s="2">
        <f>ROUND(AL128,2)</f>
        <v>0</v>
      </c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>
        <f t="shared" ref="AO128:BD128" si="117">ROUND(BX128,2)</f>
        <v>0</v>
      </c>
      <c r="AP128" s="2">
        <f t="shared" si="117"/>
        <v>0</v>
      </c>
      <c r="AQ128" s="2">
        <f t="shared" si="117"/>
        <v>0</v>
      </c>
      <c r="AR128" s="2">
        <f t="shared" si="117"/>
        <v>0</v>
      </c>
      <c r="AS128" s="2">
        <f t="shared" si="117"/>
        <v>0</v>
      </c>
      <c r="AT128" s="2">
        <f t="shared" si="117"/>
        <v>0</v>
      </c>
      <c r="AU128" s="2">
        <f t="shared" si="117"/>
        <v>0</v>
      </c>
      <c r="AV128" s="2">
        <f t="shared" si="117"/>
        <v>0</v>
      </c>
      <c r="AW128" s="2">
        <f t="shared" si="117"/>
        <v>0</v>
      </c>
      <c r="AX128" s="2">
        <f t="shared" si="117"/>
        <v>0</v>
      </c>
      <c r="AY128" s="2">
        <f t="shared" si="117"/>
        <v>0</v>
      </c>
      <c r="AZ128" s="2">
        <f t="shared" si="117"/>
        <v>0</v>
      </c>
      <c r="BA128" s="2">
        <f t="shared" si="117"/>
        <v>0</v>
      </c>
      <c r="BB128" s="2">
        <f t="shared" si="117"/>
        <v>0</v>
      </c>
      <c r="BC128" s="2">
        <f t="shared" si="117"/>
        <v>0</v>
      </c>
      <c r="BD128" s="2">
        <f t="shared" si="117"/>
        <v>0</v>
      </c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>
        <v>0</v>
      </c>
    </row>
    <row r="130" spans="1:23" x14ac:dyDescent="0.25">
      <c r="A130" s="4">
        <v>50</v>
      </c>
      <c r="B130" s="4">
        <v>0</v>
      </c>
      <c r="C130" s="4">
        <v>0</v>
      </c>
      <c r="D130" s="4">
        <v>1</v>
      </c>
      <c r="E130" s="4">
        <v>201</v>
      </c>
      <c r="F130" s="4">
        <f>ROUND(Source!O128,O130)</f>
        <v>0</v>
      </c>
      <c r="G130" s="4" t="s">
        <v>93</v>
      </c>
      <c r="H130" s="4" t="s">
        <v>94</v>
      </c>
      <c r="I130" s="4"/>
      <c r="J130" s="4"/>
      <c r="K130" s="4">
        <v>201</v>
      </c>
      <c r="L130" s="4">
        <v>1</v>
      </c>
      <c r="M130" s="4">
        <v>3</v>
      </c>
      <c r="N130" s="4" t="s">
        <v>4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 x14ac:dyDescent="0.25">
      <c r="A131" s="4">
        <v>50</v>
      </c>
      <c r="B131" s="4">
        <v>0</v>
      </c>
      <c r="C131" s="4">
        <v>0</v>
      </c>
      <c r="D131" s="4">
        <v>1</v>
      </c>
      <c r="E131" s="4">
        <v>202</v>
      </c>
      <c r="F131" s="4">
        <f>ROUND(Source!P128,O131)</f>
        <v>0</v>
      </c>
      <c r="G131" s="4" t="s">
        <v>95</v>
      </c>
      <c r="H131" s="4" t="s">
        <v>96</v>
      </c>
      <c r="I131" s="4"/>
      <c r="J131" s="4"/>
      <c r="K131" s="4">
        <v>202</v>
      </c>
      <c r="L131" s="4">
        <v>2</v>
      </c>
      <c r="M131" s="4">
        <v>3</v>
      </c>
      <c r="N131" s="4" t="s">
        <v>4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 x14ac:dyDescent="0.25">
      <c r="A132" s="4">
        <v>50</v>
      </c>
      <c r="B132" s="4">
        <v>0</v>
      </c>
      <c r="C132" s="4">
        <v>0</v>
      </c>
      <c r="D132" s="4">
        <v>1</v>
      </c>
      <c r="E132" s="4">
        <v>222</v>
      </c>
      <c r="F132" s="4">
        <f>ROUND(Source!AO128,O132)</f>
        <v>0</v>
      </c>
      <c r="G132" s="4" t="s">
        <v>97</v>
      </c>
      <c r="H132" s="4" t="s">
        <v>98</v>
      </c>
      <c r="I132" s="4"/>
      <c r="J132" s="4"/>
      <c r="K132" s="4">
        <v>222</v>
      </c>
      <c r="L132" s="4">
        <v>3</v>
      </c>
      <c r="M132" s="4">
        <v>3</v>
      </c>
      <c r="N132" s="4" t="s">
        <v>4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 x14ac:dyDescent="0.25">
      <c r="A133" s="4">
        <v>50</v>
      </c>
      <c r="B133" s="4">
        <v>0</v>
      </c>
      <c r="C133" s="4">
        <v>0</v>
      </c>
      <c r="D133" s="4">
        <v>1</v>
      </c>
      <c r="E133" s="4">
        <v>225</v>
      </c>
      <c r="F133" s="4">
        <f>ROUND(Source!AV128,O133)</f>
        <v>0</v>
      </c>
      <c r="G133" s="4" t="s">
        <v>99</v>
      </c>
      <c r="H133" s="4" t="s">
        <v>100</v>
      </c>
      <c r="I133" s="4"/>
      <c r="J133" s="4"/>
      <c r="K133" s="4">
        <v>225</v>
      </c>
      <c r="L133" s="4">
        <v>4</v>
      </c>
      <c r="M133" s="4">
        <v>3</v>
      </c>
      <c r="N133" s="4" t="s">
        <v>4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3" x14ac:dyDescent="0.25">
      <c r="A134" s="4">
        <v>50</v>
      </c>
      <c r="B134" s="4">
        <v>0</v>
      </c>
      <c r="C134" s="4">
        <v>0</v>
      </c>
      <c r="D134" s="4">
        <v>1</v>
      </c>
      <c r="E134" s="4">
        <v>226</v>
      </c>
      <c r="F134" s="4">
        <f>ROUND(Source!AW128,O134)</f>
        <v>0</v>
      </c>
      <c r="G134" s="4" t="s">
        <v>101</v>
      </c>
      <c r="H134" s="4" t="s">
        <v>102</v>
      </c>
      <c r="I134" s="4"/>
      <c r="J134" s="4"/>
      <c r="K134" s="4">
        <v>226</v>
      </c>
      <c r="L134" s="4">
        <v>5</v>
      </c>
      <c r="M134" s="4">
        <v>3</v>
      </c>
      <c r="N134" s="4" t="s">
        <v>4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3" x14ac:dyDescent="0.25">
      <c r="A135" s="4">
        <v>50</v>
      </c>
      <c r="B135" s="4">
        <v>0</v>
      </c>
      <c r="C135" s="4">
        <v>0</v>
      </c>
      <c r="D135" s="4">
        <v>1</v>
      </c>
      <c r="E135" s="4">
        <v>227</v>
      </c>
      <c r="F135" s="4">
        <f>ROUND(Source!AX128,O135)</f>
        <v>0</v>
      </c>
      <c r="G135" s="4" t="s">
        <v>103</v>
      </c>
      <c r="H135" s="4" t="s">
        <v>104</v>
      </c>
      <c r="I135" s="4"/>
      <c r="J135" s="4"/>
      <c r="K135" s="4">
        <v>227</v>
      </c>
      <c r="L135" s="4">
        <v>6</v>
      </c>
      <c r="M135" s="4">
        <v>3</v>
      </c>
      <c r="N135" s="4" t="s">
        <v>4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 x14ac:dyDescent="0.25">
      <c r="A136" s="4">
        <v>50</v>
      </c>
      <c r="B136" s="4">
        <v>0</v>
      </c>
      <c r="C136" s="4">
        <v>0</v>
      </c>
      <c r="D136" s="4">
        <v>1</v>
      </c>
      <c r="E136" s="4">
        <v>228</v>
      </c>
      <c r="F136" s="4">
        <f>ROUND(Source!AY128,O136)</f>
        <v>0</v>
      </c>
      <c r="G136" s="4" t="s">
        <v>105</v>
      </c>
      <c r="H136" s="4" t="s">
        <v>106</v>
      </c>
      <c r="I136" s="4"/>
      <c r="J136" s="4"/>
      <c r="K136" s="4">
        <v>228</v>
      </c>
      <c r="L136" s="4">
        <v>7</v>
      </c>
      <c r="M136" s="4">
        <v>3</v>
      </c>
      <c r="N136" s="4" t="s">
        <v>4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 x14ac:dyDescent="0.25">
      <c r="A137" s="4">
        <v>50</v>
      </c>
      <c r="B137" s="4">
        <v>0</v>
      </c>
      <c r="C137" s="4">
        <v>0</v>
      </c>
      <c r="D137" s="4">
        <v>1</v>
      </c>
      <c r="E137" s="4">
        <v>216</v>
      </c>
      <c r="F137" s="4">
        <f>ROUND(Source!AP128,O137)</f>
        <v>0</v>
      </c>
      <c r="G137" s="4" t="s">
        <v>107</v>
      </c>
      <c r="H137" s="4" t="s">
        <v>108</v>
      </c>
      <c r="I137" s="4"/>
      <c r="J137" s="4"/>
      <c r="K137" s="4">
        <v>216</v>
      </c>
      <c r="L137" s="4">
        <v>8</v>
      </c>
      <c r="M137" s="4">
        <v>3</v>
      </c>
      <c r="N137" s="4" t="s">
        <v>4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 x14ac:dyDescent="0.25">
      <c r="A138" s="4">
        <v>50</v>
      </c>
      <c r="B138" s="4">
        <v>0</v>
      </c>
      <c r="C138" s="4">
        <v>0</v>
      </c>
      <c r="D138" s="4">
        <v>1</v>
      </c>
      <c r="E138" s="4">
        <v>223</v>
      </c>
      <c r="F138" s="4">
        <f>ROUND(Source!AQ128,O138)</f>
        <v>0</v>
      </c>
      <c r="G138" s="4" t="s">
        <v>109</v>
      </c>
      <c r="H138" s="4" t="s">
        <v>110</v>
      </c>
      <c r="I138" s="4"/>
      <c r="J138" s="4"/>
      <c r="K138" s="4">
        <v>223</v>
      </c>
      <c r="L138" s="4">
        <v>9</v>
      </c>
      <c r="M138" s="4">
        <v>3</v>
      </c>
      <c r="N138" s="4" t="s">
        <v>4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 x14ac:dyDescent="0.25">
      <c r="A139" s="4">
        <v>50</v>
      </c>
      <c r="B139" s="4">
        <v>0</v>
      </c>
      <c r="C139" s="4">
        <v>0</v>
      </c>
      <c r="D139" s="4">
        <v>1</v>
      </c>
      <c r="E139" s="4">
        <v>229</v>
      </c>
      <c r="F139" s="4">
        <f>ROUND(Source!AZ128,O139)</f>
        <v>0</v>
      </c>
      <c r="G139" s="4" t="s">
        <v>111</v>
      </c>
      <c r="H139" s="4" t="s">
        <v>112</v>
      </c>
      <c r="I139" s="4"/>
      <c r="J139" s="4"/>
      <c r="K139" s="4">
        <v>229</v>
      </c>
      <c r="L139" s="4">
        <v>10</v>
      </c>
      <c r="M139" s="4">
        <v>3</v>
      </c>
      <c r="N139" s="4" t="s">
        <v>4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3" x14ac:dyDescent="0.25">
      <c r="A140" s="4">
        <v>50</v>
      </c>
      <c r="B140" s="4">
        <v>0</v>
      </c>
      <c r="C140" s="4">
        <v>0</v>
      </c>
      <c r="D140" s="4">
        <v>1</v>
      </c>
      <c r="E140" s="4">
        <v>203</v>
      </c>
      <c r="F140" s="4">
        <f>ROUND(Source!Q128,O140)</f>
        <v>0</v>
      </c>
      <c r="G140" s="4" t="s">
        <v>113</v>
      </c>
      <c r="H140" s="4" t="s">
        <v>114</v>
      </c>
      <c r="I140" s="4"/>
      <c r="J140" s="4"/>
      <c r="K140" s="4">
        <v>203</v>
      </c>
      <c r="L140" s="4">
        <v>11</v>
      </c>
      <c r="M140" s="4">
        <v>3</v>
      </c>
      <c r="N140" s="4" t="s">
        <v>4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3" x14ac:dyDescent="0.25">
      <c r="A141" s="4">
        <v>50</v>
      </c>
      <c r="B141" s="4">
        <v>0</v>
      </c>
      <c r="C141" s="4">
        <v>0</v>
      </c>
      <c r="D141" s="4">
        <v>1</v>
      </c>
      <c r="E141" s="4">
        <v>231</v>
      </c>
      <c r="F141" s="4">
        <f>ROUND(Source!BB128,O141)</f>
        <v>0</v>
      </c>
      <c r="G141" s="4" t="s">
        <v>115</v>
      </c>
      <c r="H141" s="4" t="s">
        <v>116</v>
      </c>
      <c r="I141" s="4"/>
      <c r="J141" s="4"/>
      <c r="K141" s="4">
        <v>231</v>
      </c>
      <c r="L141" s="4">
        <v>12</v>
      </c>
      <c r="M141" s="4">
        <v>3</v>
      </c>
      <c r="N141" s="4" t="s">
        <v>4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3" x14ac:dyDescent="0.25">
      <c r="A142" s="4">
        <v>50</v>
      </c>
      <c r="B142" s="4">
        <v>0</v>
      </c>
      <c r="C142" s="4">
        <v>0</v>
      </c>
      <c r="D142" s="4">
        <v>1</v>
      </c>
      <c r="E142" s="4">
        <v>204</v>
      </c>
      <c r="F142" s="4">
        <f>ROUND(Source!R128,O142)</f>
        <v>0</v>
      </c>
      <c r="G142" s="4" t="s">
        <v>117</v>
      </c>
      <c r="H142" s="4" t="s">
        <v>118</v>
      </c>
      <c r="I142" s="4"/>
      <c r="J142" s="4"/>
      <c r="K142" s="4">
        <v>204</v>
      </c>
      <c r="L142" s="4">
        <v>13</v>
      </c>
      <c r="M142" s="4">
        <v>3</v>
      </c>
      <c r="N142" s="4" t="s">
        <v>4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3" x14ac:dyDescent="0.25">
      <c r="A143" s="4">
        <v>50</v>
      </c>
      <c r="B143" s="4">
        <v>0</v>
      </c>
      <c r="C143" s="4">
        <v>0</v>
      </c>
      <c r="D143" s="4">
        <v>1</v>
      </c>
      <c r="E143" s="4">
        <v>205</v>
      </c>
      <c r="F143" s="4">
        <f>ROUND(Source!S128,O143)</f>
        <v>0</v>
      </c>
      <c r="G143" s="4" t="s">
        <v>119</v>
      </c>
      <c r="H143" s="4" t="s">
        <v>120</v>
      </c>
      <c r="I143" s="4"/>
      <c r="J143" s="4"/>
      <c r="K143" s="4">
        <v>205</v>
      </c>
      <c r="L143" s="4">
        <v>14</v>
      </c>
      <c r="M143" s="4">
        <v>3</v>
      </c>
      <c r="N143" s="4" t="s">
        <v>4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3" x14ac:dyDescent="0.25">
      <c r="A144" s="4">
        <v>50</v>
      </c>
      <c r="B144" s="4">
        <v>0</v>
      </c>
      <c r="C144" s="4">
        <v>0</v>
      </c>
      <c r="D144" s="4">
        <v>1</v>
      </c>
      <c r="E144" s="4">
        <v>232</v>
      </c>
      <c r="F144" s="4">
        <f>ROUND(Source!BC128,O144)</f>
        <v>0</v>
      </c>
      <c r="G144" s="4" t="s">
        <v>121</v>
      </c>
      <c r="H144" s="4" t="s">
        <v>122</v>
      </c>
      <c r="I144" s="4"/>
      <c r="J144" s="4"/>
      <c r="K144" s="4">
        <v>232</v>
      </c>
      <c r="L144" s="4">
        <v>15</v>
      </c>
      <c r="M144" s="4">
        <v>3</v>
      </c>
      <c r="N144" s="4" t="s">
        <v>4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06" x14ac:dyDescent="0.25">
      <c r="A145" s="4">
        <v>50</v>
      </c>
      <c r="B145" s="4">
        <v>0</v>
      </c>
      <c r="C145" s="4">
        <v>0</v>
      </c>
      <c r="D145" s="4">
        <v>1</v>
      </c>
      <c r="E145" s="4">
        <v>214</v>
      </c>
      <c r="F145" s="4">
        <f>ROUND(Source!AS128,O145)</f>
        <v>0</v>
      </c>
      <c r="G145" s="4" t="s">
        <v>123</v>
      </c>
      <c r="H145" s="4" t="s">
        <v>124</v>
      </c>
      <c r="I145" s="4"/>
      <c r="J145" s="4"/>
      <c r="K145" s="4">
        <v>214</v>
      </c>
      <c r="L145" s="4">
        <v>16</v>
      </c>
      <c r="M145" s="4">
        <v>3</v>
      </c>
      <c r="N145" s="4" t="s">
        <v>4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06" x14ac:dyDescent="0.25">
      <c r="A146" s="4">
        <v>50</v>
      </c>
      <c r="B146" s="4">
        <v>0</v>
      </c>
      <c r="C146" s="4">
        <v>0</v>
      </c>
      <c r="D146" s="4">
        <v>1</v>
      </c>
      <c r="E146" s="4">
        <v>215</v>
      </c>
      <c r="F146" s="4">
        <f>ROUND(Source!AT128,O146)</f>
        <v>0</v>
      </c>
      <c r="G146" s="4" t="s">
        <v>125</v>
      </c>
      <c r="H146" s="4" t="s">
        <v>126</v>
      </c>
      <c r="I146" s="4"/>
      <c r="J146" s="4"/>
      <c r="K146" s="4">
        <v>215</v>
      </c>
      <c r="L146" s="4">
        <v>17</v>
      </c>
      <c r="M146" s="4">
        <v>3</v>
      </c>
      <c r="N146" s="4" t="s">
        <v>4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06" x14ac:dyDescent="0.25">
      <c r="A147" s="4">
        <v>50</v>
      </c>
      <c r="B147" s="4">
        <v>0</v>
      </c>
      <c r="C147" s="4">
        <v>0</v>
      </c>
      <c r="D147" s="4">
        <v>1</v>
      </c>
      <c r="E147" s="4">
        <v>217</v>
      </c>
      <c r="F147" s="4">
        <f>ROUND(Source!AU128,O147)</f>
        <v>0</v>
      </c>
      <c r="G147" s="4" t="s">
        <v>127</v>
      </c>
      <c r="H147" s="4" t="s">
        <v>128</v>
      </c>
      <c r="I147" s="4"/>
      <c r="J147" s="4"/>
      <c r="K147" s="4">
        <v>217</v>
      </c>
      <c r="L147" s="4">
        <v>18</v>
      </c>
      <c r="M147" s="4">
        <v>3</v>
      </c>
      <c r="N147" s="4" t="s">
        <v>4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06" x14ac:dyDescent="0.25">
      <c r="A148" s="4">
        <v>50</v>
      </c>
      <c r="B148" s="4">
        <v>0</v>
      </c>
      <c r="C148" s="4">
        <v>0</v>
      </c>
      <c r="D148" s="4">
        <v>1</v>
      </c>
      <c r="E148" s="4">
        <v>230</v>
      </c>
      <c r="F148" s="4">
        <f>ROUND(Source!BA128,O148)</f>
        <v>0</v>
      </c>
      <c r="G148" s="4" t="s">
        <v>129</v>
      </c>
      <c r="H148" s="4" t="s">
        <v>130</v>
      </c>
      <c r="I148" s="4"/>
      <c r="J148" s="4"/>
      <c r="K148" s="4">
        <v>230</v>
      </c>
      <c r="L148" s="4">
        <v>19</v>
      </c>
      <c r="M148" s="4">
        <v>3</v>
      </c>
      <c r="N148" s="4" t="s">
        <v>4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06" x14ac:dyDescent="0.25">
      <c r="A149" s="4">
        <v>50</v>
      </c>
      <c r="B149" s="4">
        <v>0</v>
      </c>
      <c r="C149" s="4">
        <v>0</v>
      </c>
      <c r="D149" s="4">
        <v>1</v>
      </c>
      <c r="E149" s="4">
        <v>206</v>
      </c>
      <c r="F149" s="4">
        <f>ROUND(Source!T128,O149)</f>
        <v>0</v>
      </c>
      <c r="G149" s="4" t="s">
        <v>131</v>
      </c>
      <c r="H149" s="4" t="s">
        <v>132</v>
      </c>
      <c r="I149" s="4"/>
      <c r="J149" s="4"/>
      <c r="K149" s="4">
        <v>206</v>
      </c>
      <c r="L149" s="4">
        <v>20</v>
      </c>
      <c r="M149" s="4">
        <v>3</v>
      </c>
      <c r="N149" s="4" t="s">
        <v>4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06" x14ac:dyDescent="0.25">
      <c r="A150" s="4">
        <v>50</v>
      </c>
      <c r="B150" s="4">
        <v>0</v>
      </c>
      <c r="C150" s="4">
        <v>0</v>
      </c>
      <c r="D150" s="4">
        <v>1</v>
      </c>
      <c r="E150" s="4">
        <v>207</v>
      </c>
      <c r="F150" s="4">
        <f>Source!U128</f>
        <v>0</v>
      </c>
      <c r="G150" s="4" t="s">
        <v>133</v>
      </c>
      <c r="H150" s="4" t="s">
        <v>134</v>
      </c>
      <c r="I150" s="4"/>
      <c r="J150" s="4"/>
      <c r="K150" s="4">
        <v>207</v>
      </c>
      <c r="L150" s="4">
        <v>21</v>
      </c>
      <c r="M150" s="4">
        <v>3</v>
      </c>
      <c r="N150" s="4" t="s">
        <v>4</v>
      </c>
      <c r="O150" s="4">
        <v>-1</v>
      </c>
      <c r="P150" s="4"/>
      <c r="Q150" s="4"/>
      <c r="R150" s="4"/>
      <c r="S150" s="4"/>
      <c r="T150" s="4"/>
      <c r="U150" s="4"/>
      <c r="V150" s="4"/>
      <c r="W150" s="4"/>
    </row>
    <row r="151" spans="1:206" x14ac:dyDescent="0.25">
      <c r="A151" s="4">
        <v>50</v>
      </c>
      <c r="B151" s="4">
        <v>0</v>
      </c>
      <c r="C151" s="4">
        <v>0</v>
      </c>
      <c r="D151" s="4">
        <v>1</v>
      </c>
      <c r="E151" s="4">
        <v>208</v>
      </c>
      <c r="F151" s="4">
        <f>Source!V128</f>
        <v>0</v>
      </c>
      <c r="G151" s="4" t="s">
        <v>135</v>
      </c>
      <c r="H151" s="4" t="s">
        <v>136</v>
      </c>
      <c r="I151" s="4"/>
      <c r="J151" s="4"/>
      <c r="K151" s="4">
        <v>208</v>
      </c>
      <c r="L151" s="4">
        <v>22</v>
      </c>
      <c r="M151" s="4">
        <v>3</v>
      </c>
      <c r="N151" s="4" t="s">
        <v>4</v>
      </c>
      <c r="O151" s="4">
        <v>-1</v>
      </c>
      <c r="P151" s="4"/>
      <c r="Q151" s="4"/>
      <c r="R151" s="4"/>
      <c r="S151" s="4"/>
      <c r="T151" s="4"/>
      <c r="U151" s="4"/>
      <c r="V151" s="4"/>
      <c r="W151" s="4"/>
    </row>
    <row r="152" spans="1:206" x14ac:dyDescent="0.25">
      <c r="A152" s="4">
        <v>50</v>
      </c>
      <c r="B152" s="4">
        <v>0</v>
      </c>
      <c r="C152" s="4">
        <v>0</v>
      </c>
      <c r="D152" s="4">
        <v>1</v>
      </c>
      <c r="E152" s="4">
        <v>209</v>
      </c>
      <c r="F152" s="4">
        <f>ROUND(Source!W128,O152)</f>
        <v>0</v>
      </c>
      <c r="G152" s="4" t="s">
        <v>137</v>
      </c>
      <c r="H152" s="4" t="s">
        <v>138</v>
      </c>
      <c r="I152" s="4"/>
      <c r="J152" s="4"/>
      <c r="K152" s="4">
        <v>209</v>
      </c>
      <c r="L152" s="4">
        <v>23</v>
      </c>
      <c r="M152" s="4">
        <v>3</v>
      </c>
      <c r="N152" s="4" t="s">
        <v>4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06" x14ac:dyDescent="0.25">
      <c r="A153" s="4">
        <v>50</v>
      </c>
      <c r="B153" s="4">
        <v>0</v>
      </c>
      <c r="C153" s="4">
        <v>0</v>
      </c>
      <c r="D153" s="4">
        <v>1</v>
      </c>
      <c r="E153" s="4">
        <v>233</v>
      </c>
      <c r="F153" s="4">
        <f>ROUND(Source!BD128,O153)</f>
        <v>0</v>
      </c>
      <c r="G153" s="4" t="s">
        <v>139</v>
      </c>
      <c r="H153" s="4" t="s">
        <v>140</v>
      </c>
      <c r="I153" s="4"/>
      <c r="J153" s="4"/>
      <c r="K153" s="4">
        <v>233</v>
      </c>
      <c r="L153" s="4">
        <v>24</v>
      </c>
      <c r="M153" s="4">
        <v>3</v>
      </c>
      <c r="N153" s="4" t="s">
        <v>4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06" x14ac:dyDescent="0.25">
      <c r="A154" s="4">
        <v>50</v>
      </c>
      <c r="B154" s="4">
        <v>0</v>
      </c>
      <c r="C154" s="4">
        <v>0</v>
      </c>
      <c r="D154" s="4">
        <v>1</v>
      </c>
      <c r="E154" s="4">
        <v>210</v>
      </c>
      <c r="F154" s="4">
        <f>ROUND(Source!X128,O154)</f>
        <v>0</v>
      </c>
      <c r="G154" s="4" t="s">
        <v>141</v>
      </c>
      <c r="H154" s="4" t="s">
        <v>142</v>
      </c>
      <c r="I154" s="4"/>
      <c r="J154" s="4"/>
      <c r="K154" s="4">
        <v>210</v>
      </c>
      <c r="L154" s="4">
        <v>25</v>
      </c>
      <c r="M154" s="4">
        <v>3</v>
      </c>
      <c r="N154" s="4" t="s">
        <v>4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06" x14ac:dyDescent="0.25">
      <c r="A155" s="4">
        <v>50</v>
      </c>
      <c r="B155" s="4">
        <v>0</v>
      </c>
      <c r="C155" s="4">
        <v>0</v>
      </c>
      <c r="D155" s="4">
        <v>1</v>
      </c>
      <c r="E155" s="4">
        <v>211</v>
      </c>
      <c r="F155" s="4">
        <f>ROUND(Source!Y128,O155)</f>
        <v>0</v>
      </c>
      <c r="G155" s="4" t="s">
        <v>143</v>
      </c>
      <c r="H155" s="4" t="s">
        <v>144</v>
      </c>
      <c r="I155" s="4"/>
      <c r="J155" s="4"/>
      <c r="K155" s="4">
        <v>211</v>
      </c>
      <c r="L155" s="4">
        <v>26</v>
      </c>
      <c r="M155" s="4">
        <v>3</v>
      </c>
      <c r="N155" s="4" t="s">
        <v>4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06" x14ac:dyDescent="0.25">
      <c r="A156" s="4">
        <v>50</v>
      </c>
      <c r="B156" s="4">
        <v>0</v>
      </c>
      <c r="C156" s="4">
        <v>0</v>
      </c>
      <c r="D156" s="4">
        <v>1</v>
      </c>
      <c r="E156" s="4">
        <v>224</v>
      </c>
      <c r="F156" s="4">
        <f>ROUND(Source!AR128,O156)</f>
        <v>0</v>
      </c>
      <c r="G156" s="4" t="s">
        <v>145</v>
      </c>
      <c r="H156" s="4" t="s">
        <v>146</v>
      </c>
      <c r="I156" s="4"/>
      <c r="J156" s="4"/>
      <c r="K156" s="4">
        <v>224</v>
      </c>
      <c r="L156" s="4">
        <v>27</v>
      </c>
      <c r="M156" s="4">
        <v>3</v>
      </c>
      <c r="N156" s="4" t="s">
        <v>4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8" spans="1:206" x14ac:dyDescent="0.25">
      <c r="A158" s="2">
        <v>51</v>
      </c>
      <c r="B158" s="2">
        <f>B20</f>
        <v>1</v>
      </c>
      <c r="C158" s="2">
        <f>A20</f>
        <v>3</v>
      </c>
      <c r="D158" s="2">
        <f>ROW(A20)</f>
        <v>20</v>
      </c>
      <c r="E158" s="2"/>
      <c r="F158" s="2" t="str">
        <f>IF(F20&lt;&gt;"",F20,"")</f>
        <v/>
      </c>
      <c r="G158" s="2" t="str">
        <f>IF(G20&lt;&gt;"",G20,"")</f>
        <v/>
      </c>
      <c r="H158" s="2">
        <v>0</v>
      </c>
      <c r="I158" s="2"/>
      <c r="J158" s="2"/>
      <c r="K158" s="2"/>
      <c r="L158" s="2"/>
      <c r="M158" s="2"/>
      <c r="N158" s="2"/>
      <c r="O158" s="2">
        <f t="shared" ref="O158:T158" si="118">ROUND(O42+O94+O128+AB158,2)</f>
        <v>577844.68999999994</v>
      </c>
      <c r="P158" s="2">
        <f t="shared" si="118"/>
        <v>497925.65</v>
      </c>
      <c r="Q158" s="2">
        <f t="shared" si="118"/>
        <v>1500.12</v>
      </c>
      <c r="R158" s="2">
        <f t="shared" si="118"/>
        <v>498.58</v>
      </c>
      <c r="S158" s="2">
        <f t="shared" si="118"/>
        <v>78418.92</v>
      </c>
      <c r="T158" s="2">
        <f t="shared" si="118"/>
        <v>0</v>
      </c>
      <c r="U158" s="2">
        <f>U42+U94+U128+AH158</f>
        <v>236.14442423999992</v>
      </c>
      <c r="V158" s="2">
        <f>V42+V94+V128+AI158</f>
        <v>0</v>
      </c>
      <c r="W158" s="2">
        <f>ROUND(W42+W94+W128+AJ158,2)</f>
        <v>0</v>
      </c>
      <c r="X158" s="2">
        <f>ROUND(X42+X94+X128+AK158,2)</f>
        <v>70577.039999999994</v>
      </c>
      <c r="Y158" s="2">
        <f>ROUND(Y42+Y94+Y128+AL158,2)</f>
        <v>33624.83</v>
      </c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>
        <f t="shared" ref="AO158:BD158" si="119">ROUND(AO42+AO94+AO128+BX158,2)</f>
        <v>0</v>
      </c>
      <c r="AP158" s="2">
        <f t="shared" si="119"/>
        <v>454918.13</v>
      </c>
      <c r="AQ158" s="2">
        <f t="shared" si="119"/>
        <v>0</v>
      </c>
      <c r="AR158" s="2">
        <f t="shared" si="119"/>
        <v>682829.32</v>
      </c>
      <c r="AS158" s="2">
        <f t="shared" si="119"/>
        <v>0</v>
      </c>
      <c r="AT158" s="2">
        <f t="shared" si="119"/>
        <v>227911.19</v>
      </c>
      <c r="AU158" s="2">
        <f t="shared" si="119"/>
        <v>0</v>
      </c>
      <c r="AV158" s="2">
        <f t="shared" si="119"/>
        <v>497925.65</v>
      </c>
      <c r="AW158" s="2">
        <f t="shared" si="119"/>
        <v>43007.519999999997</v>
      </c>
      <c r="AX158" s="2">
        <f t="shared" si="119"/>
        <v>0</v>
      </c>
      <c r="AY158" s="2">
        <f t="shared" si="119"/>
        <v>43007.519999999997</v>
      </c>
      <c r="AZ158" s="2">
        <f t="shared" si="119"/>
        <v>454918.13</v>
      </c>
      <c r="BA158" s="2">
        <f t="shared" si="119"/>
        <v>0</v>
      </c>
      <c r="BB158" s="2">
        <f t="shared" si="119"/>
        <v>0</v>
      </c>
      <c r="BC158" s="2">
        <f t="shared" si="119"/>
        <v>0</v>
      </c>
      <c r="BD158" s="2">
        <f t="shared" si="119"/>
        <v>0</v>
      </c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>
        <v>0</v>
      </c>
    </row>
    <row r="160" spans="1:206" x14ac:dyDescent="0.25">
      <c r="A160" s="4">
        <v>50</v>
      </c>
      <c r="B160" s="4">
        <v>1</v>
      </c>
      <c r="C160" s="4">
        <v>0</v>
      </c>
      <c r="D160" s="4">
        <v>1</v>
      </c>
      <c r="E160" s="4">
        <v>201</v>
      </c>
      <c r="F160" s="4">
        <f>ROUND(Source!O158,O160)</f>
        <v>577844.68999999994</v>
      </c>
      <c r="G160" s="4" t="s">
        <v>93</v>
      </c>
      <c r="H160" s="4" t="s">
        <v>94</v>
      </c>
      <c r="I160" s="4"/>
      <c r="J160" s="4"/>
      <c r="K160" s="4">
        <v>201</v>
      </c>
      <c r="L160" s="4">
        <v>1</v>
      </c>
      <c r="M160" s="4">
        <v>0</v>
      </c>
      <c r="N160" s="4" t="s">
        <v>4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 x14ac:dyDescent="0.25">
      <c r="A161" s="4">
        <v>50</v>
      </c>
      <c r="B161" s="4">
        <v>0</v>
      </c>
      <c r="C161" s="4">
        <v>0</v>
      </c>
      <c r="D161" s="4">
        <v>1</v>
      </c>
      <c r="E161" s="4">
        <v>202</v>
      </c>
      <c r="F161" s="4">
        <f>ROUND(Source!P158,O161)</f>
        <v>497925.65</v>
      </c>
      <c r="G161" s="4" t="s">
        <v>95</v>
      </c>
      <c r="H161" s="4" t="s">
        <v>96</v>
      </c>
      <c r="I161" s="4"/>
      <c r="J161" s="4"/>
      <c r="K161" s="4">
        <v>202</v>
      </c>
      <c r="L161" s="4">
        <v>2</v>
      </c>
      <c r="M161" s="4">
        <v>3</v>
      </c>
      <c r="N161" s="4" t="s">
        <v>4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 x14ac:dyDescent="0.25">
      <c r="A162" s="4">
        <v>50</v>
      </c>
      <c r="B162" s="4">
        <v>0</v>
      </c>
      <c r="C162" s="4">
        <v>0</v>
      </c>
      <c r="D162" s="4">
        <v>1</v>
      </c>
      <c r="E162" s="4">
        <v>222</v>
      </c>
      <c r="F162" s="4">
        <f>ROUND(Source!AO158,O162)</f>
        <v>0</v>
      </c>
      <c r="G162" s="4" t="s">
        <v>97</v>
      </c>
      <c r="H162" s="4" t="s">
        <v>98</v>
      </c>
      <c r="I162" s="4"/>
      <c r="J162" s="4"/>
      <c r="K162" s="4">
        <v>222</v>
      </c>
      <c r="L162" s="4">
        <v>3</v>
      </c>
      <c r="M162" s="4">
        <v>3</v>
      </c>
      <c r="N162" s="4" t="s">
        <v>4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 x14ac:dyDescent="0.25">
      <c r="A163" s="4">
        <v>50</v>
      </c>
      <c r="B163" s="4">
        <v>0</v>
      </c>
      <c r="C163" s="4">
        <v>0</v>
      </c>
      <c r="D163" s="4">
        <v>1</v>
      </c>
      <c r="E163" s="4">
        <v>225</v>
      </c>
      <c r="F163" s="4">
        <f>ROUND(Source!AV158,O163)</f>
        <v>497925.65</v>
      </c>
      <c r="G163" s="4" t="s">
        <v>99</v>
      </c>
      <c r="H163" s="4" t="s">
        <v>100</v>
      </c>
      <c r="I163" s="4"/>
      <c r="J163" s="4"/>
      <c r="K163" s="4">
        <v>225</v>
      </c>
      <c r="L163" s="4">
        <v>4</v>
      </c>
      <c r="M163" s="4">
        <v>3</v>
      </c>
      <c r="N163" s="4" t="s">
        <v>4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 x14ac:dyDescent="0.25">
      <c r="A164" s="4">
        <v>50</v>
      </c>
      <c r="B164" s="4">
        <v>1</v>
      </c>
      <c r="C164" s="4">
        <v>0</v>
      </c>
      <c r="D164" s="4">
        <v>1</v>
      </c>
      <c r="E164" s="4">
        <v>226</v>
      </c>
      <c r="F164" s="4">
        <f>ROUND(Source!AW158,O164)</f>
        <v>43007.519999999997</v>
      </c>
      <c r="G164" s="4" t="s">
        <v>101</v>
      </c>
      <c r="H164" s="4" t="s">
        <v>102</v>
      </c>
      <c r="I164" s="4"/>
      <c r="J164" s="4"/>
      <c r="K164" s="4">
        <v>226</v>
      </c>
      <c r="L164" s="4">
        <v>5</v>
      </c>
      <c r="M164" s="4">
        <v>0</v>
      </c>
      <c r="N164" s="4" t="s">
        <v>4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 x14ac:dyDescent="0.25">
      <c r="A165" s="4">
        <v>50</v>
      </c>
      <c r="B165" s="4">
        <v>0</v>
      </c>
      <c r="C165" s="4">
        <v>0</v>
      </c>
      <c r="D165" s="4">
        <v>1</v>
      </c>
      <c r="E165" s="4">
        <v>227</v>
      </c>
      <c r="F165" s="4">
        <f>ROUND(Source!AX158,O165)</f>
        <v>0</v>
      </c>
      <c r="G165" s="4" t="s">
        <v>103</v>
      </c>
      <c r="H165" s="4" t="s">
        <v>104</v>
      </c>
      <c r="I165" s="4"/>
      <c r="J165" s="4"/>
      <c r="K165" s="4">
        <v>227</v>
      </c>
      <c r="L165" s="4">
        <v>6</v>
      </c>
      <c r="M165" s="4">
        <v>3</v>
      </c>
      <c r="N165" s="4" t="s">
        <v>4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3" x14ac:dyDescent="0.25">
      <c r="A166" s="4">
        <v>50</v>
      </c>
      <c r="B166" s="4">
        <v>0</v>
      </c>
      <c r="C166" s="4">
        <v>0</v>
      </c>
      <c r="D166" s="4">
        <v>1</v>
      </c>
      <c r="E166" s="4">
        <v>228</v>
      </c>
      <c r="F166" s="4">
        <f>ROUND(Source!AY158,O166)</f>
        <v>43007.519999999997</v>
      </c>
      <c r="G166" s="4" t="s">
        <v>105</v>
      </c>
      <c r="H166" s="4" t="s">
        <v>106</v>
      </c>
      <c r="I166" s="4"/>
      <c r="J166" s="4"/>
      <c r="K166" s="4">
        <v>228</v>
      </c>
      <c r="L166" s="4">
        <v>7</v>
      </c>
      <c r="M166" s="4">
        <v>3</v>
      </c>
      <c r="N166" s="4" t="s">
        <v>4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3" x14ac:dyDescent="0.25">
      <c r="A167" s="4">
        <v>50</v>
      </c>
      <c r="B167" s="4">
        <v>1</v>
      </c>
      <c r="C167" s="4">
        <v>0</v>
      </c>
      <c r="D167" s="4">
        <v>1</v>
      </c>
      <c r="E167" s="4">
        <v>216</v>
      </c>
      <c r="F167" s="4">
        <f>ROUND(Source!AP158,O167)</f>
        <v>454918.13</v>
      </c>
      <c r="G167" s="4" t="s">
        <v>107</v>
      </c>
      <c r="H167" s="4" t="s">
        <v>108</v>
      </c>
      <c r="I167" s="4"/>
      <c r="J167" s="4"/>
      <c r="K167" s="4">
        <v>216</v>
      </c>
      <c r="L167" s="4">
        <v>8</v>
      </c>
      <c r="M167" s="4">
        <v>0</v>
      </c>
      <c r="N167" s="4" t="s">
        <v>4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3" x14ac:dyDescent="0.25">
      <c r="A168" s="4">
        <v>50</v>
      </c>
      <c r="B168" s="4">
        <v>0</v>
      </c>
      <c r="C168" s="4">
        <v>0</v>
      </c>
      <c r="D168" s="4">
        <v>1</v>
      </c>
      <c r="E168" s="4">
        <v>223</v>
      </c>
      <c r="F168" s="4">
        <f>ROUND(Source!AQ158,O168)</f>
        <v>0</v>
      </c>
      <c r="G168" s="4" t="s">
        <v>109</v>
      </c>
      <c r="H168" s="4" t="s">
        <v>110</v>
      </c>
      <c r="I168" s="4"/>
      <c r="J168" s="4"/>
      <c r="K168" s="4">
        <v>223</v>
      </c>
      <c r="L168" s="4">
        <v>9</v>
      </c>
      <c r="M168" s="4">
        <v>3</v>
      </c>
      <c r="N168" s="4" t="s">
        <v>4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3" x14ac:dyDescent="0.25">
      <c r="A169" s="4">
        <v>50</v>
      </c>
      <c r="B169" s="4">
        <v>0</v>
      </c>
      <c r="C169" s="4">
        <v>0</v>
      </c>
      <c r="D169" s="4">
        <v>1</v>
      </c>
      <c r="E169" s="4">
        <v>229</v>
      </c>
      <c r="F169" s="4">
        <f>ROUND(Source!AZ158,O169)</f>
        <v>454918.13</v>
      </c>
      <c r="G169" s="4" t="s">
        <v>111</v>
      </c>
      <c r="H169" s="4" t="s">
        <v>112</v>
      </c>
      <c r="I169" s="4"/>
      <c r="J169" s="4"/>
      <c r="K169" s="4">
        <v>229</v>
      </c>
      <c r="L169" s="4">
        <v>10</v>
      </c>
      <c r="M169" s="4">
        <v>3</v>
      </c>
      <c r="N169" s="4" t="s">
        <v>4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3" x14ac:dyDescent="0.25">
      <c r="A170" s="4">
        <v>50</v>
      </c>
      <c r="B170" s="4">
        <v>1</v>
      </c>
      <c r="C170" s="4">
        <v>0</v>
      </c>
      <c r="D170" s="4">
        <v>1</v>
      </c>
      <c r="E170" s="4">
        <v>203</v>
      </c>
      <c r="F170" s="4">
        <f>ROUND(Source!Q158,O170)</f>
        <v>1500.12</v>
      </c>
      <c r="G170" s="4" t="s">
        <v>113</v>
      </c>
      <c r="H170" s="4" t="s">
        <v>114</v>
      </c>
      <c r="I170" s="4"/>
      <c r="J170" s="4"/>
      <c r="K170" s="4">
        <v>203</v>
      </c>
      <c r="L170" s="4">
        <v>11</v>
      </c>
      <c r="M170" s="4">
        <v>0</v>
      </c>
      <c r="N170" s="4" t="s">
        <v>4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3" x14ac:dyDescent="0.25">
      <c r="A171" s="4">
        <v>50</v>
      </c>
      <c r="B171" s="4">
        <v>0</v>
      </c>
      <c r="C171" s="4">
        <v>0</v>
      </c>
      <c r="D171" s="4">
        <v>1</v>
      </c>
      <c r="E171" s="4">
        <v>231</v>
      </c>
      <c r="F171" s="4">
        <f>ROUND(Source!BB158,O171)</f>
        <v>0</v>
      </c>
      <c r="G171" s="4" t="s">
        <v>115</v>
      </c>
      <c r="H171" s="4" t="s">
        <v>116</v>
      </c>
      <c r="I171" s="4"/>
      <c r="J171" s="4"/>
      <c r="K171" s="4">
        <v>231</v>
      </c>
      <c r="L171" s="4">
        <v>12</v>
      </c>
      <c r="M171" s="4">
        <v>3</v>
      </c>
      <c r="N171" s="4" t="s">
        <v>4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3" x14ac:dyDescent="0.25">
      <c r="A172" s="4">
        <v>50</v>
      </c>
      <c r="B172" s="4">
        <v>1</v>
      </c>
      <c r="C172" s="4">
        <v>0</v>
      </c>
      <c r="D172" s="4">
        <v>1</v>
      </c>
      <c r="E172" s="4">
        <v>204</v>
      </c>
      <c r="F172" s="4">
        <f>ROUND(Source!R158,O172)</f>
        <v>498.58</v>
      </c>
      <c r="G172" s="4" t="s">
        <v>117</v>
      </c>
      <c r="H172" s="4" t="s">
        <v>118</v>
      </c>
      <c r="I172" s="4"/>
      <c r="J172" s="4"/>
      <c r="K172" s="4">
        <v>204</v>
      </c>
      <c r="L172" s="4">
        <v>13</v>
      </c>
      <c r="M172" s="4">
        <v>0</v>
      </c>
      <c r="N172" s="4" t="s">
        <v>4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3" x14ac:dyDescent="0.25">
      <c r="A173" s="4">
        <v>50</v>
      </c>
      <c r="B173" s="4">
        <v>1</v>
      </c>
      <c r="C173" s="4">
        <v>0</v>
      </c>
      <c r="D173" s="4">
        <v>1</v>
      </c>
      <c r="E173" s="4">
        <v>205</v>
      </c>
      <c r="F173" s="4">
        <f>ROUND(Source!S158,O173)</f>
        <v>78418.92</v>
      </c>
      <c r="G173" s="4" t="s">
        <v>119</v>
      </c>
      <c r="H173" s="4" t="s">
        <v>120</v>
      </c>
      <c r="I173" s="4"/>
      <c r="J173" s="4"/>
      <c r="K173" s="4">
        <v>205</v>
      </c>
      <c r="L173" s="4">
        <v>14</v>
      </c>
      <c r="M173" s="4">
        <v>0</v>
      </c>
      <c r="N173" s="4" t="s">
        <v>4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3" x14ac:dyDescent="0.25">
      <c r="A174" s="4">
        <v>50</v>
      </c>
      <c r="B174" s="4">
        <v>0</v>
      </c>
      <c r="C174" s="4">
        <v>0</v>
      </c>
      <c r="D174" s="4">
        <v>1</v>
      </c>
      <c r="E174" s="4">
        <v>232</v>
      </c>
      <c r="F174" s="4">
        <f>ROUND(Source!BC158,O174)</f>
        <v>0</v>
      </c>
      <c r="G174" s="4" t="s">
        <v>121</v>
      </c>
      <c r="H174" s="4" t="s">
        <v>122</v>
      </c>
      <c r="I174" s="4"/>
      <c r="J174" s="4"/>
      <c r="K174" s="4">
        <v>232</v>
      </c>
      <c r="L174" s="4">
        <v>15</v>
      </c>
      <c r="M174" s="4">
        <v>3</v>
      </c>
      <c r="N174" s="4" t="s">
        <v>4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3" x14ac:dyDescent="0.25">
      <c r="A175" s="4">
        <v>50</v>
      </c>
      <c r="B175" s="4">
        <v>0</v>
      </c>
      <c r="C175" s="4">
        <v>0</v>
      </c>
      <c r="D175" s="4">
        <v>1</v>
      </c>
      <c r="E175" s="4">
        <v>214</v>
      </c>
      <c r="F175" s="4">
        <f>ROUND(Source!AS158,O175)</f>
        <v>0</v>
      </c>
      <c r="G175" s="4" t="s">
        <v>123</v>
      </c>
      <c r="H175" s="4" t="s">
        <v>124</v>
      </c>
      <c r="I175" s="4"/>
      <c r="J175" s="4"/>
      <c r="K175" s="4">
        <v>214</v>
      </c>
      <c r="L175" s="4">
        <v>16</v>
      </c>
      <c r="M175" s="4">
        <v>3</v>
      </c>
      <c r="N175" s="4" t="s">
        <v>4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3" x14ac:dyDescent="0.25">
      <c r="A176" s="4">
        <v>50</v>
      </c>
      <c r="B176" s="4">
        <v>0</v>
      </c>
      <c r="C176" s="4">
        <v>0</v>
      </c>
      <c r="D176" s="4">
        <v>1</v>
      </c>
      <c r="E176" s="4">
        <v>215</v>
      </c>
      <c r="F176" s="4">
        <f>ROUND(Source!AT158,O176)</f>
        <v>227911.19</v>
      </c>
      <c r="G176" s="4" t="s">
        <v>125</v>
      </c>
      <c r="H176" s="4" t="s">
        <v>126</v>
      </c>
      <c r="I176" s="4"/>
      <c r="J176" s="4"/>
      <c r="K176" s="4">
        <v>215</v>
      </c>
      <c r="L176" s="4">
        <v>17</v>
      </c>
      <c r="M176" s="4">
        <v>3</v>
      </c>
      <c r="N176" s="4" t="s">
        <v>4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06" x14ac:dyDescent="0.25">
      <c r="A177" s="4">
        <v>50</v>
      </c>
      <c r="B177" s="4">
        <v>0</v>
      </c>
      <c r="C177" s="4">
        <v>0</v>
      </c>
      <c r="D177" s="4">
        <v>1</v>
      </c>
      <c r="E177" s="4">
        <v>217</v>
      </c>
      <c r="F177" s="4">
        <f>ROUND(Source!AU158,O177)</f>
        <v>0</v>
      </c>
      <c r="G177" s="4" t="s">
        <v>127</v>
      </c>
      <c r="H177" s="4" t="s">
        <v>128</v>
      </c>
      <c r="I177" s="4"/>
      <c r="J177" s="4"/>
      <c r="K177" s="4">
        <v>217</v>
      </c>
      <c r="L177" s="4">
        <v>18</v>
      </c>
      <c r="M177" s="4">
        <v>3</v>
      </c>
      <c r="N177" s="4" t="s">
        <v>4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06" x14ac:dyDescent="0.25">
      <c r="A178" s="4">
        <v>50</v>
      </c>
      <c r="B178" s="4">
        <v>0</v>
      </c>
      <c r="C178" s="4">
        <v>0</v>
      </c>
      <c r="D178" s="4">
        <v>1</v>
      </c>
      <c r="E178" s="4">
        <v>230</v>
      </c>
      <c r="F178" s="4">
        <f>ROUND(Source!BA158,O178)</f>
        <v>0</v>
      </c>
      <c r="G178" s="4" t="s">
        <v>129</v>
      </c>
      <c r="H178" s="4" t="s">
        <v>130</v>
      </c>
      <c r="I178" s="4"/>
      <c r="J178" s="4"/>
      <c r="K178" s="4">
        <v>230</v>
      </c>
      <c r="L178" s="4">
        <v>19</v>
      </c>
      <c r="M178" s="4">
        <v>3</v>
      </c>
      <c r="N178" s="4" t="s">
        <v>4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06" x14ac:dyDescent="0.25">
      <c r="A179" s="4">
        <v>50</v>
      </c>
      <c r="B179" s="4">
        <v>0</v>
      </c>
      <c r="C179" s="4">
        <v>0</v>
      </c>
      <c r="D179" s="4">
        <v>1</v>
      </c>
      <c r="E179" s="4">
        <v>206</v>
      </c>
      <c r="F179" s="4">
        <f>ROUND(Source!T158,O179)</f>
        <v>0</v>
      </c>
      <c r="G179" s="4" t="s">
        <v>131</v>
      </c>
      <c r="H179" s="4" t="s">
        <v>132</v>
      </c>
      <c r="I179" s="4"/>
      <c r="J179" s="4"/>
      <c r="K179" s="4">
        <v>206</v>
      </c>
      <c r="L179" s="4">
        <v>20</v>
      </c>
      <c r="M179" s="4">
        <v>3</v>
      </c>
      <c r="N179" s="4" t="s">
        <v>4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06" x14ac:dyDescent="0.25">
      <c r="A180" s="4">
        <v>50</v>
      </c>
      <c r="B180" s="4">
        <v>1</v>
      </c>
      <c r="C180" s="4">
        <v>0</v>
      </c>
      <c r="D180" s="4">
        <v>1</v>
      </c>
      <c r="E180" s="4">
        <v>207</v>
      </c>
      <c r="F180" s="4">
        <f>Source!U158</f>
        <v>236.14442423999992</v>
      </c>
      <c r="G180" s="4" t="s">
        <v>133</v>
      </c>
      <c r="H180" s="4" t="s">
        <v>134</v>
      </c>
      <c r="I180" s="4"/>
      <c r="J180" s="4"/>
      <c r="K180" s="4">
        <v>207</v>
      </c>
      <c r="L180" s="4">
        <v>21</v>
      </c>
      <c r="M180" s="4">
        <v>0</v>
      </c>
      <c r="N180" s="4" t="s">
        <v>4</v>
      </c>
      <c r="O180" s="4">
        <v>-1</v>
      </c>
      <c r="P180" s="4"/>
      <c r="Q180" s="4"/>
      <c r="R180" s="4"/>
      <c r="S180" s="4"/>
      <c r="T180" s="4"/>
      <c r="U180" s="4"/>
      <c r="V180" s="4"/>
      <c r="W180" s="4"/>
    </row>
    <row r="181" spans="1:206" x14ac:dyDescent="0.25">
      <c r="A181" s="4">
        <v>50</v>
      </c>
      <c r="B181" s="4">
        <v>1</v>
      </c>
      <c r="C181" s="4">
        <v>0</v>
      </c>
      <c r="D181" s="4">
        <v>1</v>
      </c>
      <c r="E181" s="4">
        <v>208</v>
      </c>
      <c r="F181" s="4">
        <f>Source!V158</f>
        <v>0</v>
      </c>
      <c r="G181" s="4" t="s">
        <v>135</v>
      </c>
      <c r="H181" s="4" t="s">
        <v>136</v>
      </c>
      <c r="I181" s="4"/>
      <c r="J181" s="4"/>
      <c r="K181" s="4">
        <v>208</v>
      </c>
      <c r="L181" s="4">
        <v>22</v>
      </c>
      <c r="M181" s="4">
        <v>0</v>
      </c>
      <c r="N181" s="4" t="s">
        <v>4</v>
      </c>
      <c r="O181" s="4">
        <v>-1</v>
      </c>
      <c r="P181" s="4"/>
      <c r="Q181" s="4"/>
      <c r="R181" s="4"/>
      <c r="S181" s="4"/>
      <c r="T181" s="4"/>
      <c r="U181" s="4"/>
      <c r="V181" s="4"/>
      <c r="W181" s="4"/>
    </row>
    <row r="182" spans="1:206" x14ac:dyDescent="0.25">
      <c r="A182" s="4">
        <v>50</v>
      </c>
      <c r="B182" s="4">
        <v>0</v>
      </c>
      <c r="C182" s="4">
        <v>0</v>
      </c>
      <c r="D182" s="4">
        <v>1</v>
      </c>
      <c r="E182" s="4">
        <v>209</v>
      </c>
      <c r="F182" s="4">
        <f>ROUND(Source!W158,O182)</f>
        <v>0</v>
      </c>
      <c r="G182" s="4" t="s">
        <v>137</v>
      </c>
      <c r="H182" s="4" t="s">
        <v>138</v>
      </c>
      <c r="I182" s="4"/>
      <c r="J182" s="4"/>
      <c r="K182" s="4">
        <v>209</v>
      </c>
      <c r="L182" s="4">
        <v>23</v>
      </c>
      <c r="M182" s="4">
        <v>3</v>
      </c>
      <c r="N182" s="4" t="s">
        <v>4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06" x14ac:dyDescent="0.25">
      <c r="A183" s="4">
        <v>50</v>
      </c>
      <c r="B183" s="4">
        <v>0</v>
      </c>
      <c r="C183" s="4">
        <v>0</v>
      </c>
      <c r="D183" s="4">
        <v>1</v>
      </c>
      <c r="E183" s="4">
        <v>233</v>
      </c>
      <c r="F183" s="4">
        <f>ROUND(Source!BD158,O183)</f>
        <v>0</v>
      </c>
      <c r="G183" s="4" t="s">
        <v>139</v>
      </c>
      <c r="H183" s="4" t="s">
        <v>140</v>
      </c>
      <c r="I183" s="4"/>
      <c r="J183" s="4"/>
      <c r="K183" s="4">
        <v>233</v>
      </c>
      <c r="L183" s="4">
        <v>24</v>
      </c>
      <c r="M183" s="4">
        <v>3</v>
      </c>
      <c r="N183" s="4" t="s">
        <v>4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06" x14ac:dyDescent="0.25">
      <c r="A184" s="4">
        <v>50</v>
      </c>
      <c r="B184" s="4">
        <v>1</v>
      </c>
      <c r="C184" s="4">
        <v>0</v>
      </c>
      <c r="D184" s="4">
        <v>1</v>
      </c>
      <c r="E184" s="4">
        <v>210</v>
      </c>
      <c r="F184" s="4">
        <f>ROUND(Source!X158,O184)</f>
        <v>70577.039999999994</v>
      </c>
      <c r="G184" s="4" t="s">
        <v>141</v>
      </c>
      <c r="H184" s="4" t="s">
        <v>142</v>
      </c>
      <c r="I184" s="4"/>
      <c r="J184" s="4"/>
      <c r="K184" s="4">
        <v>210</v>
      </c>
      <c r="L184" s="4">
        <v>25</v>
      </c>
      <c r="M184" s="4">
        <v>0</v>
      </c>
      <c r="N184" s="4" t="s">
        <v>4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06" x14ac:dyDescent="0.25">
      <c r="A185" s="4">
        <v>50</v>
      </c>
      <c r="B185" s="4">
        <v>1</v>
      </c>
      <c r="C185" s="4">
        <v>0</v>
      </c>
      <c r="D185" s="4">
        <v>1</v>
      </c>
      <c r="E185" s="4">
        <v>211</v>
      </c>
      <c r="F185" s="4">
        <f>ROUND(Source!Y158,O185)</f>
        <v>33624.83</v>
      </c>
      <c r="G185" s="4" t="s">
        <v>143</v>
      </c>
      <c r="H185" s="4" t="s">
        <v>144</v>
      </c>
      <c r="I185" s="4"/>
      <c r="J185" s="4"/>
      <c r="K185" s="4">
        <v>211</v>
      </c>
      <c r="L185" s="4">
        <v>26</v>
      </c>
      <c r="M185" s="4">
        <v>0</v>
      </c>
      <c r="N185" s="4" t="s">
        <v>4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06" x14ac:dyDescent="0.25">
      <c r="A186" s="4">
        <v>50</v>
      </c>
      <c r="B186" s="4">
        <v>1</v>
      </c>
      <c r="C186" s="4">
        <v>0</v>
      </c>
      <c r="D186" s="4">
        <v>1</v>
      </c>
      <c r="E186" s="4">
        <v>224</v>
      </c>
      <c r="F186" s="4">
        <f>ROUND(Source!AR158,O186)</f>
        <v>682829.32</v>
      </c>
      <c r="G186" s="4" t="s">
        <v>145</v>
      </c>
      <c r="H186" s="4" t="s">
        <v>146</v>
      </c>
      <c r="I186" s="4"/>
      <c r="J186" s="4"/>
      <c r="K186" s="4">
        <v>224</v>
      </c>
      <c r="L186" s="4">
        <v>27</v>
      </c>
      <c r="M186" s="4">
        <v>0</v>
      </c>
      <c r="N186" s="4" t="s">
        <v>4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8" spans="1:206" x14ac:dyDescent="0.25">
      <c r="A188" s="2">
        <v>51</v>
      </c>
      <c r="B188" s="2">
        <f>B12</f>
        <v>223</v>
      </c>
      <c r="C188" s="2">
        <f>A12</f>
        <v>1</v>
      </c>
      <c r="D188" s="2">
        <f>ROW(A12)</f>
        <v>12</v>
      </c>
      <c r="E188" s="2"/>
      <c r="F188" s="2" t="str">
        <f>IF(F12&lt;&gt;"",F12,"")</f>
        <v/>
      </c>
      <c r="G188" s="2" t="str">
        <f>IF(G12&lt;&gt;"",G12,"")</f>
        <v/>
      </c>
      <c r="H188" s="2">
        <v>0</v>
      </c>
      <c r="I188" s="2"/>
      <c r="J188" s="2"/>
      <c r="K188" s="2"/>
      <c r="L188" s="2"/>
      <c r="M188" s="2"/>
      <c r="N188" s="2"/>
      <c r="O188" s="2">
        <f t="shared" ref="O188:T188" si="120">ROUND(O158,2)</f>
        <v>577844.68999999994</v>
      </c>
      <c r="P188" s="2">
        <f t="shared" si="120"/>
        <v>497925.65</v>
      </c>
      <c r="Q188" s="2">
        <f t="shared" si="120"/>
        <v>1500.12</v>
      </c>
      <c r="R188" s="2">
        <f t="shared" si="120"/>
        <v>498.58</v>
      </c>
      <c r="S188" s="2">
        <f t="shared" si="120"/>
        <v>78418.92</v>
      </c>
      <c r="T188" s="2">
        <f t="shared" si="120"/>
        <v>0</v>
      </c>
      <c r="U188" s="2">
        <f>U158</f>
        <v>236.14442423999992</v>
      </c>
      <c r="V188" s="2">
        <f>V158</f>
        <v>0</v>
      </c>
      <c r="W188" s="2">
        <f>ROUND(W158,2)</f>
        <v>0</v>
      </c>
      <c r="X188" s="2">
        <f>ROUND(X158,2)</f>
        <v>70577.039999999994</v>
      </c>
      <c r="Y188" s="2">
        <f>ROUND(Y158,2)</f>
        <v>33624.83</v>
      </c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>
        <f t="shared" ref="AO188:BD188" si="121">ROUND(AO158,2)</f>
        <v>0</v>
      </c>
      <c r="AP188" s="2">
        <f t="shared" si="121"/>
        <v>454918.13</v>
      </c>
      <c r="AQ188" s="2">
        <f t="shared" si="121"/>
        <v>0</v>
      </c>
      <c r="AR188" s="2">
        <f t="shared" si="121"/>
        <v>682829.32</v>
      </c>
      <c r="AS188" s="2">
        <f t="shared" si="121"/>
        <v>0</v>
      </c>
      <c r="AT188" s="2">
        <f t="shared" si="121"/>
        <v>227911.19</v>
      </c>
      <c r="AU188" s="2">
        <f t="shared" si="121"/>
        <v>0</v>
      </c>
      <c r="AV188" s="2">
        <f t="shared" si="121"/>
        <v>497925.65</v>
      </c>
      <c r="AW188" s="2">
        <f t="shared" si="121"/>
        <v>43007.519999999997</v>
      </c>
      <c r="AX188" s="2">
        <f t="shared" si="121"/>
        <v>0</v>
      </c>
      <c r="AY188" s="2">
        <f t="shared" si="121"/>
        <v>43007.519999999997</v>
      </c>
      <c r="AZ188" s="2">
        <f t="shared" si="121"/>
        <v>454918.13</v>
      </c>
      <c r="BA188" s="2">
        <f t="shared" si="121"/>
        <v>0</v>
      </c>
      <c r="BB188" s="2">
        <f t="shared" si="121"/>
        <v>0</v>
      </c>
      <c r="BC188" s="2">
        <f t="shared" si="121"/>
        <v>0</v>
      </c>
      <c r="BD188" s="2">
        <f t="shared" si="121"/>
        <v>0</v>
      </c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>
        <v>0</v>
      </c>
    </row>
    <row r="190" spans="1:206" x14ac:dyDescent="0.25">
      <c r="A190" s="4">
        <v>50</v>
      </c>
      <c r="B190" s="4">
        <v>0</v>
      </c>
      <c r="C190" s="4">
        <v>0</v>
      </c>
      <c r="D190" s="4">
        <v>1</v>
      </c>
      <c r="E190" s="4">
        <v>201</v>
      </c>
      <c r="F190" s="4">
        <f>ROUND(Source!O188,O190)</f>
        <v>577844.68999999994</v>
      </c>
      <c r="G190" s="4" t="s">
        <v>93</v>
      </c>
      <c r="H190" s="4" t="s">
        <v>94</v>
      </c>
      <c r="I190" s="4"/>
      <c r="J190" s="4"/>
      <c r="K190" s="4">
        <v>201</v>
      </c>
      <c r="L190" s="4">
        <v>1</v>
      </c>
      <c r="M190" s="4">
        <v>3</v>
      </c>
      <c r="N190" s="4" t="s">
        <v>4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06" x14ac:dyDescent="0.25">
      <c r="A191" s="4">
        <v>50</v>
      </c>
      <c r="B191" s="4">
        <v>0</v>
      </c>
      <c r="C191" s="4">
        <v>0</v>
      </c>
      <c r="D191" s="4">
        <v>1</v>
      </c>
      <c r="E191" s="4">
        <v>202</v>
      </c>
      <c r="F191" s="4">
        <f>ROUND(Source!P188,O191)</f>
        <v>497925.65</v>
      </c>
      <c r="G191" s="4" t="s">
        <v>95</v>
      </c>
      <c r="H191" s="4" t="s">
        <v>96</v>
      </c>
      <c r="I191" s="4"/>
      <c r="J191" s="4"/>
      <c r="K191" s="4">
        <v>202</v>
      </c>
      <c r="L191" s="4">
        <v>2</v>
      </c>
      <c r="M191" s="4">
        <v>3</v>
      </c>
      <c r="N191" s="4" t="s">
        <v>4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06" x14ac:dyDescent="0.25">
      <c r="A192" s="4">
        <v>50</v>
      </c>
      <c r="B192" s="4">
        <v>0</v>
      </c>
      <c r="C192" s="4">
        <v>0</v>
      </c>
      <c r="D192" s="4">
        <v>1</v>
      </c>
      <c r="E192" s="4">
        <v>222</v>
      </c>
      <c r="F192" s="4">
        <f>ROUND(Source!AO188,O192)</f>
        <v>0</v>
      </c>
      <c r="G192" s="4" t="s">
        <v>97</v>
      </c>
      <c r="H192" s="4" t="s">
        <v>98</v>
      </c>
      <c r="I192" s="4"/>
      <c r="J192" s="4"/>
      <c r="K192" s="4">
        <v>222</v>
      </c>
      <c r="L192" s="4">
        <v>3</v>
      </c>
      <c r="M192" s="4">
        <v>3</v>
      </c>
      <c r="N192" s="4" t="s">
        <v>4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3" x14ac:dyDescent="0.25">
      <c r="A193" s="4">
        <v>50</v>
      </c>
      <c r="B193" s="4">
        <v>0</v>
      </c>
      <c r="C193" s="4">
        <v>0</v>
      </c>
      <c r="D193" s="4">
        <v>1</v>
      </c>
      <c r="E193" s="4">
        <v>225</v>
      </c>
      <c r="F193" s="4">
        <f>ROUND(Source!AV188,O193)</f>
        <v>497925.65</v>
      </c>
      <c r="G193" s="4" t="s">
        <v>99</v>
      </c>
      <c r="H193" s="4" t="s">
        <v>100</v>
      </c>
      <c r="I193" s="4"/>
      <c r="J193" s="4"/>
      <c r="K193" s="4">
        <v>225</v>
      </c>
      <c r="L193" s="4">
        <v>4</v>
      </c>
      <c r="M193" s="4">
        <v>3</v>
      </c>
      <c r="N193" s="4" t="s">
        <v>4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3" x14ac:dyDescent="0.25">
      <c r="A194" s="4">
        <v>50</v>
      </c>
      <c r="B194" s="4">
        <v>0</v>
      </c>
      <c r="C194" s="4">
        <v>0</v>
      </c>
      <c r="D194" s="4">
        <v>1</v>
      </c>
      <c r="E194" s="4">
        <v>226</v>
      </c>
      <c r="F194" s="4">
        <f>ROUND(Source!AW188,O194)</f>
        <v>43007.519999999997</v>
      </c>
      <c r="G194" s="4" t="s">
        <v>101</v>
      </c>
      <c r="H194" s="4" t="s">
        <v>102</v>
      </c>
      <c r="I194" s="4"/>
      <c r="J194" s="4"/>
      <c r="K194" s="4">
        <v>226</v>
      </c>
      <c r="L194" s="4">
        <v>5</v>
      </c>
      <c r="M194" s="4">
        <v>3</v>
      </c>
      <c r="N194" s="4" t="s">
        <v>4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3" x14ac:dyDescent="0.25">
      <c r="A195" s="4">
        <v>50</v>
      </c>
      <c r="B195" s="4">
        <v>0</v>
      </c>
      <c r="C195" s="4">
        <v>0</v>
      </c>
      <c r="D195" s="4">
        <v>1</v>
      </c>
      <c r="E195" s="4">
        <v>227</v>
      </c>
      <c r="F195" s="4">
        <f>ROUND(Source!AX188,O195)</f>
        <v>0</v>
      </c>
      <c r="G195" s="4" t="s">
        <v>103</v>
      </c>
      <c r="H195" s="4" t="s">
        <v>104</v>
      </c>
      <c r="I195" s="4"/>
      <c r="J195" s="4"/>
      <c r="K195" s="4">
        <v>227</v>
      </c>
      <c r="L195" s="4">
        <v>6</v>
      </c>
      <c r="M195" s="4">
        <v>3</v>
      </c>
      <c r="N195" s="4" t="s">
        <v>4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3" x14ac:dyDescent="0.25">
      <c r="A196" s="4">
        <v>50</v>
      </c>
      <c r="B196" s="4">
        <v>0</v>
      </c>
      <c r="C196" s="4">
        <v>0</v>
      </c>
      <c r="D196" s="4">
        <v>1</v>
      </c>
      <c r="E196" s="4">
        <v>228</v>
      </c>
      <c r="F196" s="4">
        <f>ROUND(Source!AY188,O196)</f>
        <v>43007.519999999997</v>
      </c>
      <c r="G196" s="4" t="s">
        <v>105</v>
      </c>
      <c r="H196" s="4" t="s">
        <v>106</v>
      </c>
      <c r="I196" s="4"/>
      <c r="J196" s="4"/>
      <c r="K196" s="4">
        <v>228</v>
      </c>
      <c r="L196" s="4">
        <v>7</v>
      </c>
      <c r="M196" s="4">
        <v>3</v>
      </c>
      <c r="N196" s="4" t="s">
        <v>4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3" x14ac:dyDescent="0.25">
      <c r="A197" s="4">
        <v>50</v>
      </c>
      <c r="B197" s="4">
        <v>0</v>
      </c>
      <c r="C197" s="4">
        <v>0</v>
      </c>
      <c r="D197" s="4">
        <v>1</v>
      </c>
      <c r="E197" s="4">
        <v>216</v>
      </c>
      <c r="F197" s="4">
        <f>ROUND(Source!AP188,O197)</f>
        <v>454918.13</v>
      </c>
      <c r="G197" s="4" t="s">
        <v>107</v>
      </c>
      <c r="H197" s="4" t="s">
        <v>108</v>
      </c>
      <c r="I197" s="4"/>
      <c r="J197" s="4"/>
      <c r="K197" s="4">
        <v>216</v>
      </c>
      <c r="L197" s="4">
        <v>8</v>
      </c>
      <c r="M197" s="4">
        <v>3</v>
      </c>
      <c r="N197" s="4" t="s">
        <v>4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3" x14ac:dyDescent="0.25">
      <c r="A198" s="4">
        <v>50</v>
      </c>
      <c r="B198" s="4">
        <v>0</v>
      </c>
      <c r="C198" s="4">
        <v>0</v>
      </c>
      <c r="D198" s="4">
        <v>1</v>
      </c>
      <c r="E198" s="4">
        <v>223</v>
      </c>
      <c r="F198" s="4">
        <f>ROUND(Source!AQ188,O198)</f>
        <v>0</v>
      </c>
      <c r="G198" s="4" t="s">
        <v>109</v>
      </c>
      <c r="H198" s="4" t="s">
        <v>110</v>
      </c>
      <c r="I198" s="4"/>
      <c r="J198" s="4"/>
      <c r="K198" s="4">
        <v>223</v>
      </c>
      <c r="L198" s="4">
        <v>9</v>
      </c>
      <c r="M198" s="4">
        <v>3</v>
      </c>
      <c r="N198" s="4" t="s">
        <v>4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3" x14ac:dyDescent="0.25">
      <c r="A199" s="4">
        <v>50</v>
      </c>
      <c r="B199" s="4">
        <v>0</v>
      </c>
      <c r="C199" s="4">
        <v>0</v>
      </c>
      <c r="D199" s="4">
        <v>1</v>
      </c>
      <c r="E199" s="4">
        <v>229</v>
      </c>
      <c r="F199" s="4">
        <f>ROUND(Source!AZ188,O199)</f>
        <v>454918.13</v>
      </c>
      <c r="G199" s="4" t="s">
        <v>111</v>
      </c>
      <c r="H199" s="4" t="s">
        <v>112</v>
      </c>
      <c r="I199" s="4"/>
      <c r="J199" s="4"/>
      <c r="K199" s="4">
        <v>229</v>
      </c>
      <c r="L199" s="4">
        <v>10</v>
      </c>
      <c r="M199" s="4">
        <v>3</v>
      </c>
      <c r="N199" s="4" t="s">
        <v>4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3" x14ac:dyDescent="0.25">
      <c r="A200" s="4">
        <v>50</v>
      </c>
      <c r="B200" s="4">
        <v>0</v>
      </c>
      <c r="C200" s="4">
        <v>0</v>
      </c>
      <c r="D200" s="4">
        <v>1</v>
      </c>
      <c r="E200" s="4">
        <v>203</v>
      </c>
      <c r="F200" s="4">
        <f>ROUND(Source!Q188,O200)</f>
        <v>1500.12</v>
      </c>
      <c r="G200" s="4" t="s">
        <v>113</v>
      </c>
      <c r="H200" s="4" t="s">
        <v>114</v>
      </c>
      <c r="I200" s="4"/>
      <c r="J200" s="4"/>
      <c r="K200" s="4">
        <v>203</v>
      </c>
      <c r="L200" s="4">
        <v>11</v>
      </c>
      <c r="M200" s="4">
        <v>3</v>
      </c>
      <c r="N200" s="4" t="s">
        <v>4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3" x14ac:dyDescent="0.25">
      <c r="A201" s="4">
        <v>50</v>
      </c>
      <c r="B201" s="4">
        <v>0</v>
      </c>
      <c r="C201" s="4">
        <v>0</v>
      </c>
      <c r="D201" s="4">
        <v>1</v>
      </c>
      <c r="E201" s="4">
        <v>231</v>
      </c>
      <c r="F201" s="4">
        <f>ROUND(Source!BB188,O201)</f>
        <v>0</v>
      </c>
      <c r="G201" s="4" t="s">
        <v>115</v>
      </c>
      <c r="H201" s="4" t="s">
        <v>116</v>
      </c>
      <c r="I201" s="4"/>
      <c r="J201" s="4"/>
      <c r="K201" s="4">
        <v>231</v>
      </c>
      <c r="L201" s="4">
        <v>12</v>
      </c>
      <c r="M201" s="4">
        <v>3</v>
      </c>
      <c r="N201" s="4" t="s">
        <v>4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3" x14ac:dyDescent="0.25">
      <c r="A202" s="4">
        <v>50</v>
      </c>
      <c r="B202" s="4">
        <v>0</v>
      </c>
      <c r="C202" s="4">
        <v>0</v>
      </c>
      <c r="D202" s="4">
        <v>1</v>
      </c>
      <c r="E202" s="4">
        <v>204</v>
      </c>
      <c r="F202" s="4">
        <f>ROUND(Source!R188,O202)</f>
        <v>498.58</v>
      </c>
      <c r="G202" s="4" t="s">
        <v>117</v>
      </c>
      <c r="H202" s="4" t="s">
        <v>118</v>
      </c>
      <c r="I202" s="4"/>
      <c r="J202" s="4"/>
      <c r="K202" s="4">
        <v>204</v>
      </c>
      <c r="L202" s="4">
        <v>13</v>
      </c>
      <c r="M202" s="4">
        <v>3</v>
      </c>
      <c r="N202" s="4" t="s">
        <v>4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3" x14ac:dyDescent="0.25">
      <c r="A203" s="4">
        <v>50</v>
      </c>
      <c r="B203" s="4">
        <v>0</v>
      </c>
      <c r="C203" s="4">
        <v>0</v>
      </c>
      <c r="D203" s="4">
        <v>1</v>
      </c>
      <c r="E203" s="4">
        <v>205</v>
      </c>
      <c r="F203" s="4">
        <f>ROUND(Source!S188,O203)</f>
        <v>78418.92</v>
      </c>
      <c r="G203" s="4" t="s">
        <v>119</v>
      </c>
      <c r="H203" s="4" t="s">
        <v>120</v>
      </c>
      <c r="I203" s="4"/>
      <c r="J203" s="4"/>
      <c r="K203" s="4">
        <v>205</v>
      </c>
      <c r="L203" s="4">
        <v>14</v>
      </c>
      <c r="M203" s="4">
        <v>3</v>
      </c>
      <c r="N203" s="4" t="s">
        <v>4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3" x14ac:dyDescent="0.25">
      <c r="A204" s="4">
        <v>50</v>
      </c>
      <c r="B204" s="4">
        <v>0</v>
      </c>
      <c r="C204" s="4">
        <v>0</v>
      </c>
      <c r="D204" s="4">
        <v>1</v>
      </c>
      <c r="E204" s="4">
        <v>232</v>
      </c>
      <c r="F204" s="4">
        <f>ROUND(Source!BC188,O204)</f>
        <v>0</v>
      </c>
      <c r="G204" s="4" t="s">
        <v>121</v>
      </c>
      <c r="H204" s="4" t="s">
        <v>122</v>
      </c>
      <c r="I204" s="4"/>
      <c r="J204" s="4"/>
      <c r="K204" s="4">
        <v>232</v>
      </c>
      <c r="L204" s="4">
        <v>15</v>
      </c>
      <c r="M204" s="4">
        <v>3</v>
      </c>
      <c r="N204" s="4" t="s">
        <v>4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3" x14ac:dyDescent="0.25">
      <c r="A205" s="4">
        <v>50</v>
      </c>
      <c r="B205" s="4">
        <v>0</v>
      </c>
      <c r="C205" s="4">
        <v>0</v>
      </c>
      <c r="D205" s="4">
        <v>1</v>
      </c>
      <c r="E205" s="4">
        <v>214</v>
      </c>
      <c r="F205" s="4">
        <f>ROUND(Source!AS188,O205)</f>
        <v>0</v>
      </c>
      <c r="G205" s="4" t="s">
        <v>123</v>
      </c>
      <c r="H205" s="4" t="s">
        <v>124</v>
      </c>
      <c r="I205" s="4"/>
      <c r="J205" s="4"/>
      <c r="K205" s="4">
        <v>214</v>
      </c>
      <c r="L205" s="4">
        <v>16</v>
      </c>
      <c r="M205" s="4">
        <v>3</v>
      </c>
      <c r="N205" s="4" t="s">
        <v>4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3" x14ac:dyDescent="0.25">
      <c r="A206" s="4">
        <v>50</v>
      </c>
      <c r="B206" s="4">
        <v>0</v>
      </c>
      <c r="C206" s="4">
        <v>0</v>
      </c>
      <c r="D206" s="4">
        <v>1</v>
      </c>
      <c r="E206" s="4">
        <v>215</v>
      </c>
      <c r="F206" s="4">
        <f>ROUND(Source!AT188,O206)</f>
        <v>227911.19</v>
      </c>
      <c r="G206" s="4" t="s">
        <v>125</v>
      </c>
      <c r="H206" s="4" t="s">
        <v>126</v>
      </c>
      <c r="I206" s="4"/>
      <c r="J206" s="4"/>
      <c r="K206" s="4">
        <v>215</v>
      </c>
      <c r="L206" s="4">
        <v>17</v>
      </c>
      <c r="M206" s="4">
        <v>3</v>
      </c>
      <c r="N206" s="4" t="s">
        <v>4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3" x14ac:dyDescent="0.25">
      <c r="A207" s="4">
        <v>50</v>
      </c>
      <c r="B207" s="4">
        <v>0</v>
      </c>
      <c r="C207" s="4">
        <v>0</v>
      </c>
      <c r="D207" s="4">
        <v>1</v>
      </c>
      <c r="E207" s="4">
        <v>217</v>
      </c>
      <c r="F207" s="4">
        <f>ROUND(Source!AU188,O207)</f>
        <v>0</v>
      </c>
      <c r="G207" s="4" t="s">
        <v>127</v>
      </c>
      <c r="H207" s="4" t="s">
        <v>128</v>
      </c>
      <c r="I207" s="4"/>
      <c r="J207" s="4"/>
      <c r="K207" s="4">
        <v>217</v>
      </c>
      <c r="L207" s="4">
        <v>18</v>
      </c>
      <c r="M207" s="4">
        <v>3</v>
      </c>
      <c r="N207" s="4" t="s">
        <v>4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3" x14ac:dyDescent="0.25">
      <c r="A208" s="4">
        <v>50</v>
      </c>
      <c r="B208" s="4">
        <v>0</v>
      </c>
      <c r="C208" s="4">
        <v>0</v>
      </c>
      <c r="D208" s="4">
        <v>1</v>
      </c>
      <c r="E208" s="4">
        <v>230</v>
      </c>
      <c r="F208" s="4">
        <f>ROUND(Source!BA188,O208)</f>
        <v>0</v>
      </c>
      <c r="G208" s="4" t="s">
        <v>129</v>
      </c>
      <c r="H208" s="4" t="s">
        <v>130</v>
      </c>
      <c r="I208" s="4"/>
      <c r="J208" s="4"/>
      <c r="K208" s="4">
        <v>230</v>
      </c>
      <c r="L208" s="4">
        <v>19</v>
      </c>
      <c r="M208" s="4">
        <v>3</v>
      </c>
      <c r="N208" s="4" t="s">
        <v>4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7" x14ac:dyDescent="0.25">
      <c r="A209" s="4">
        <v>50</v>
      </c>
      <c r="B209" s="4">
        <v>0</v>
      </c>
      <c r="C209" s="4">
        <v>0</v>
      </c>
      <c r="D209" s="4">
        <v>1</v>
      </c>
      <c r="E209" s="4">
        <v>206</v>
      </c>
      <c r="F209" s="4">
        <f>ROUND(Source!T188,O209)</f>
        <v>0</v>
      </c>
      <c r="G209" s="4" t="s">
        <v>131</v>
      </c>
      <c r="H209" s="4" t="s">
        <v>132</v>
      </c>
      <c r="I209" s="4"/>
      <c r="J209" s="4"/>
      <c r="K209" s="4">
        <v>206</v>
      </c>
      <c r="L209" s="4">
        <v>20</v>
      </c>
      <c r="M209" s="4">
        <v>3</v>
      </c>
      <c r="N209" s="4" t="s">
        <v>4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7" x14ac:dyDescent="0.25">
      <c r="A210" s="4">
        <v>50</v>
      </c>
      <c r="B210" s="4">
        <v>0</v>
      </c>
      <c r="C210" s="4">
        <v>0</v>
      </c>
      <c r="D210" s="4">
        <v>1</v>
      </c>
      <c r="E210" s="4">
        <v>207</v>
      </c>
      <c r="F210" s="4">
        <f>Source!U188</f>
        <v>236.14442423999992</v>
      </c>
      <c r="G210" s="4" t="s">
        <v>133</v>
      </c>
      <c r="H210" s="4" t="s">
        <v>134</v>
      </c>
      <c r="I210" s="4"/>
      <c r="J210" s="4"/>
      <c r="K210" s="4">
        <v>207</v>
      </c>
      <c r="L210" s="4">
        <v>21</v>
      </c>
      <c r="M210" s="4">
        <v>3</v>
      </c>
      <c r="N210" s="4" t="s">
        <v>4</v>
      </c>
      <c r="O210" s="4">
        <v>-1</v>
      </c>
      <c r="P210" s="4"/>
      <c r="Q210" s="4"/>
      <c r="R210" s="4"/>
      <c r="S210" s="4"/>
      <c r="T210" s="4"/>
      <c r="U210" s="4"/>
      <c r="V210" s="4"/>
      <c r="W210" s="4"/>
    </row>
    <row r="211" spans="1:27" x14ac:dyDescent="0.25">
      <c r="A211" s="4">
        <v>50</v>
      </c>
      <c r="B211" s="4">
        <v>0</v>
      </c>
      <c r="C211" s="4">
        <v>0</v>
      </c>
      <c r="D211" s="4">
        <v>1</v>
      </c>
      <c r="E211" s="4">
        <v>208</v>
      </c>
      <c r="F211" s="4">
        <f>Source!V188</f>
        <v>0</v>
      </c>
      <c r="G211" s="4" t="s">
        <v>135</v>
      </c>
      <c r="H211" s="4" t="s">
        <v>136</v>
      </c>
      <c r="I211" s="4"/>
      <c r="J211" s="4"/>
      <c r="K211" s="4">
        <v>208</v>
      </c>
      <c r="L211" s="4">
        <v>22</v>
      </c>
      <c r="M211" s="4">
        <v>3</v>
      </c>
      <c r="N211" s="4" t="s">
        <v>4</v>
      </c>
      <c r="O211" s="4">
        <v>-1</v>
      </c>
      <c r="P211" s="4"/>
      <c r="Q211" s="4"/>
      <c r="R211" s="4"/>
      <c r="S211" s="4"/>
      <c r="T211" s="4"/>
      <c r="U211" s="4"/>
      <c r="V211" s="4"/>
      <c r="W211" s="4"/>
    </row>
    <row r="212" spans="1:27" x14ac:dyDescent="0.25">
      <c r="A212" s="4">
        <v>50</v>
      </c>
      <c r="B212" s="4">
        <v>0</v>
      </c>
      <c r="C212" s="4">
        <v>0</v>
      </c>
      <c r="D212" s="4">
        <v>1</v>
      </c>
      <c r="E212" s="4">
        <v>209</v>
      </c>
      <c r="F212" s="4">
        <f>ROUND(Source!W188,O212)</f>
        <v>0</v>
      </c>
      <c r="G212" s="4" t="s">
        <v>137</v>
      </c>
      <c r="H212" s="4" t="s">
        <v>138</v>
      </c>
      <c r="I212" s="4"/>
      <c r="J212" s="4"/>
      <c r="K212" s="4">
        <v>209</v>
      </c>
      <c r="L212" s="4">
        <v>23</v>
      </c>
      <c r="M212" s="4">
        <v>3</v>
      </c>
      <c r="N212" s="4" t="s">
        <v>4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7" x14ac:dyDescent="0.25">
      <c r="A213" s="4">
        <v>50</v>
      </c>
      <c r="B213" s="4">
        <v>0</v>
      </c>
      <c r="C213" s="4">
        <v>0</v>
      </c>
      <c r="D213" s="4">
        <v>1</v>
      </c>
      <c r="E213" s="4">
        <v>233</v>
      </c>
      <c r="F213" s="4">
        <f>ROUND(Source!BD188,O213)</f>
        <v>0</v>
      </c>
      <c r="G213" s="4" t="s">
        <v>139</v>
      </c>
      <c r="H213" s="4" t="s">
        <v>140</v>
      </c>
      <c r="I213" s="4"/>
      <c r="J213" s="4"/>
      <c r="K213" s="4">
        <v>233</v>
      </c>
      <c r="L213" s="4">
        <v>24</v>
      </c>
      <c r="M213" s="4">
        <v>3</v>
      </c>
      <c r="N213" s="4" t="s">
        <v>4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7" x14ac:dyDescent="0.25">
      <c r="A214" s="4">
        <v>50</v>
      </c>
      <c r="B214" s="4">
        <v>0</v>
      </c>
      <c r="C214" s="4">
        <v>0</v>
      </c>
      <c r="D214" s="4">
        <v>1</v>
      </c>
      <c r="E214" s="4">
        <v>210</v>
      </c>
      <c r="F214" s="4">
        <f>ROUND(Source!X188,O214)</f>
        <v>70577.039999999994</v>
      </c>
      <c r="G214" s="4" t="s">
        <v>141</v>
      </c>
      <c r="H214" s="4" t="s">
        <v>142</v>
      </c>
      <c r="I214" s="4"/>
      <c r="J214" s="4"/>
      <c r="K214" s="4">
        <v>210</v>
      </c>
      <c r="L214" s="4">
        <v>25</v>
      </c>
      <c r="M214" s="4">
        <v>3</v>
      </c>
      <c r="N214" s="4" t="s">
        <v>4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7" x14ac:dyDescent="0.25">
      <c r="A215" s="4">
        <v>50</v>
      </c>
      <c r="B215" s="4">
        <v>0</v>
      </c>
      <c r="C215" s="4">
        <v>0</v>
      </c>
      <c r="D215" s="4">
        <v>1</v>
      </c>
      <c r="E215" s="4">
        <v>211</v>
      </c>
      <c r="F215" s="4">
        <f>ROUND(Source!Y188,O215)</f>
        <v>33624.83</v>
      </c>
      <c r="G215" s="4" t="s">
        <v>143</v>
      </c>
      <c r="H215" s="4" t="s">
        <v>144</v>
      </c>
      <c r="I215" s="4"/>
      <c r="J215" s="4"/>
      <c r="K215" s="4">
        <v>211</v>
      </c>
      <c r="L215" s="4">
        <v>26</v>
      </c>
      <c r="M215" s="4">
        <v>3</v>
      </c>
      <c r="N215" s="4" t="s">
        <v>4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7" x14ac:dyDescent="0.25">
      <c r="A216" s="4">
        <v>50</v>
      </c>
      <c r="B216" s="4">
        <v>0</v>
      </c>
      <c r="C216" s="4">
        <v>0</v>
      </c>
      <c r="D216" s="4">
        <v>1</v>
      </c>
      <c r="E216" s="4">
        <v>224</v>
      </c>
      <c r="F216" s="4">
        <f>ROUND(Source!AR188,O216)</f>
        <v>682829.32</v>
      </c>
      <c r="G216" s="4" t="s">
        <v>145</v>
      </c>
      <c r="H216" s="4" t="s">
        <v>146</v>
      </c>
      <c r="I216" s="4"/>
      <c r="J216" s="4"/>
      <c r="K216" s="4">
        <v>224</v>
      </c>
      <c r="L216" s="4">
        <v>27</v>
      </c>
      <c r="M216" s="4">
        <v>3</v>
      </c>
      <c r="N216" s="4" t="s">
        <v>4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9" spans="1:27" x14ac:dyDescent="0.25">
      <c r="A219">
        <v>70</v>
      </c>
      <c r="B219">
        <v>1</v>
      </c>
      <c r="D219">
        <v>1</v>
      </c>
      <c r="E219" t="s">
        <v>195</v>
      </c>
      <c r="F219" t="s">
        <v>196</v>
      </c>
      <c r="G219">
        <v>0</v>
      </c>
      <c r="H219">
        <v>0</v>
      </c>
      <c r="I219" t="s">
        <v>4</v>
      </c>
      <c r="J219">
        <v>0</v>
      </c>
      <c r="K219">
        <v>0</v>
      </c>
      <c r="L219" t="s">
        <v>4</v>
      </c>
      <c r="M219" t="s">
        <v>4</v>
      </c>
      <c r="N219">
        <v>0</v>
      </c>
    </row>
    <row r="221" spans="1:27" x14ac:dyDescent="0.25">
      <c r="A221">
        <v>-1</v>
      </c>
    </row>
    <row r="223" spans="1:27" x14ac:dyDescent="0.25">
      <c r="A223" s="3">
        <v>75</v>
      </c>
      <c r="B223" s="3" t="s">
        <v>197</v>
      </c>
      <c r="C223" s="3">
        <v>2021</v>
      </c>
      <c r="D223" s="3">
        <v>0</v>
      </c>
      <c r="E223" s="3">
        <v>5</v>
      </c>
      <c r="F223" s="3"/>
      <c r="G223" s="3">
        <v>0</v>
      </c>
      <c r="H223" s="3">
        <v>2</v>
      </c>
      <c r="I223" s="3">
        <v>1</v>
      </c>
      <c r="J223" s="3">
        <v>1</v>
      </c>
      <c r="K223" s="3">
        <v>93</v>
      </c>
      <c r="L223" s="3">
        <v>64</v>
      </c>
      <c r="M223" s="3">
        <v>0</v>
      </c>
      <c r="N223" s="3">
        <v>40520239</v>
      </c>
      <c r="O223" s="3">
        <v>1</v>
      </c>
    </row>
    <row r="224" spans="1:27" x14ac:dyDescent="0.25">
      <c r="A224" s="5">
        <v>1</v>
      </c>
      <c r="B224" s="5" t="s">
        <v>198</v>
      </c>
      <c r="C224" s="5" t="s">
        <v>199</v>
      </c>
      <c r="D224" s="5">
        <v>2021</v>
      </c>
      <c r="E224" s="5">
        <v>5</v>
      </c>
      <c r="F224" s="5">
        <v>1</v>
      </c>
      <c r="G224" s="5">
        <v>1</v>
      </c>
      <c r="H224" s="5">
        <v>0</v>
      </c>
      <c r="I224" s="5">
        <v>2</v>
      </c>
      <c r="J224" s="5">
        <v>1</v>
      </c>
      <c r="K224" s="5">
        <v>1</v>
      </c>
      <c r="L224" s="5">
        <v>1</v>
      </c>
      <c r="M224" s="5">
        <v>1</v>
      </c>
      <c r="N224" s="5">
        <v>1</v>
      </c>
      <c r="O224" s="5">
        <v>1</v>
      </c>
      <c r="P224" s="5">
        <v>1</v>
      </c>
      <c r="Q224" s="5">
        <v>1</v>
      </c>
      <c r="R224" s="5" t="s">
        <v>4</v>
      </c>
      <c r="S224" s="5" t="s">
        <v>4</v>
      </c>
      <c r="T224" s="5" t="s">
        <v>4</v>
      </c>
      <c r="U224" s="5" t="s">
        <v>4</v>
      </c>
      <c r="V224" s="5" t="s">
        <v>4</v>
      </c>
      <c r="W224" s="5" t="s">
        <v>4</v>
      </c>
      <c r="X224" s="5" t="s">
        <v>4</v>
      </c>
      <c r="Y224" s="5" t="s">
        <v>4</v>
      </c>
      <c r="Z224" s="5" t="s">
        <v>4</v>
      </c>
      <c r="AA224" s="5" t="s">
        <v>200</v>
      </c>
    </row>
    <row r="228" spans="1:5" x14ac:dyDescent="0.25">
      <c r="A228">
        <v>65</v>
      </c>
      <c r="C228">
        <v>1</v>
      </c>
      <c r="D228">
        <v>0</v>
      </c>
      <c r="E22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201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37067</v>
      </c>
      <c r="M1">
        <v>10</v>
      </c>
      <c r="N1">
        <v>11</v>
      </c>
      <c r="O1">
        <v>0</v>
      </c>
      <c r="P1">
        <v>1</v>
      </c>
      <c r="Q1">
        <v>6</v>
      </c>
    </row>
    <row r="12" spans="1:133" x14ac:dyDescent="0.25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4</v>
      </c>
      <c r="I12" s="1">
        <v>0</v>
      </c>
      <c r="J12" s="1" t="s">
        <v>4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4</v>
      </c>
      <c r="V12" s="1">
        <v>0</v>
      </c>
      <c r="W12" s="1" t="s">
        <v>4</v>
      </c>
      <c r="X12" s="1" t="s">
        <v>4</v>
      </c>
      <c r="Y12" s="1" t="s">
        <v>4</v>
      </c>
      <c r="Z12" s="1" t="s">
        <v>4</v>
      </c>
      <c r="AA12" s="1" t="s">
        <v>4</v>
      </c>
      <c r="AB12" s="1" t="s">
        <v>6</v>
      </c>
      <c r="AC12" s="1" t="s">
        <v>4</v>
      </c>
      <c r="AD12" s="1" t="s">
        <v>7</v>
      </c>
      <c r="AE12" s="1" t="s">
        <v>4</v>
      </c>
      <c r="AF12" s="1" t="s">
        <v>4</v>
      </c>
      <c r="AG12" s="1" t="s">
        <v>4</v>
      </c>
      <c r="AH12" s="1" t="s">
        <v>4</v>
      </c>
      <c r="AI12" s="1" t="s">
        <v>4</v>
      </c>
      <c r="AJ12" s="1" t="s">
        <v>4</v>
      </c>
      <c r="AK12" s="1"/>
      <c r="AL12" s="1" t="s">
        <v>4</v>
      </c>
      <c r="AM12" s="1" t="s">
        <v>4</v>
      </c>
      <c r="AN12" s="1" t="s">
        <v>4</v>
      </c>
      <c r="AO12" s="1"/>
      <c r="AP12" s="1" t="s">
        <v>4</v>
      </c>
      <c r="AQ12" s="1" t="s">
        <v>4</v>
      </c>
      <c r="AR12" s="1" t="s">
        <v>4</v>
      </c>
      <c r="AS12" s="1"/>
      <c r="AT12" s="1"/>
      <c r="AU12" s="1"/>
      <c r="AV12" s="1"/>
      <c r="AW12" s="1"/>
      <c r="AX12" s="1" t="s">
        <v>4</v>
      </c>
      <c r="AY12" s="1" t="s">
        <v>4</v>
      </c>
      <c r="AZ12" s="1" t="s">
        <v>4</v>
      </c>
      <c r="BA12" s="1"/>
      <c r="BB12" s="1"/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4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8200</v>
      </c>
      <c r="CI12" s="1" t="s">
        <v>4</v>
      </c>
      <c r="CJ12" s="1" t="s">
        <v>4</v>
      </c>
      <c r="CK12" s="1">
        <v>60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5">
      <c r="A14" s="1">
        <v>22</v>
      </c>
      <c r="B14" s="1">
        <v>0</v>
      </c>
      <c r="C14" s="1">
        <v>0</v>
      </c>
      <c r="D14" s="1">
        <v>40520239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5">
      <c r="A16" s="6">
        <v>3</v>
      </c>
      <c r="B16" s="6">
        <v>1</v>
      </c>
      <c r="C16" s="6" t="s">
        <v>13</v>
      </c>
      <c r="D16" s="6" t="s">
        <v>14</v>
      </c>
      <c r="E16" s="7">
        <f>(Source!F175)/1000</f>
        <v>0</v>
      </c>
      <c r="F16" s="7">
        <f>(Source!F176)/1000</f>
        <v>227.91119</v>
      </c>
      <c r="G16" s="7">
        <f>(Source!F167)/1000</f>
        <v>454.91813000000002</v>
      </c>
      <c r="H16" s="7">
        <f>(Source!F177)/1000+(Source!F178)/1000</f>
        <v>0</v>
      </c>
      <c r="I16" s="7">
        <f>E16+F16+G16+H16</f>
        <v>682.82932000000005</v>
      </c>
      <c r="J16" s="7">
        <f>(Source!F173)/1000</f>
        <v>78.41892</v>
      </c>
      <c r="AI16" s="6">
        <v>0</v>
      </c>
      <c r="AJ16" s="6">
        <v>-1</v>
      </c>
      <c r="AK16" s="6" t="s">
        <v>4</v>
      </c>
      <c r="AL16" s="6" t="s">
        <v>4</v>
      </c>
      <c r="AM16" s="6" t="s">
        <v>4</v>
      </c>
      <c r="AN16" s="6">
        <v>0</v>
      </c>
      <c r="AO16" s="6" t="s">
        <v>4</v>
      </c>
      <c r="AP16" s="6" t="s">
        <v>4</v>
      </c>
      <c r="AT16" s="7">
        <v>577844.68999999994</v>
      </c>
      <c r="AU16" s="7">
        <v>497925.65</v>
      </c>
      <c r="AV16" s="7">
        <v>0</v>
      </c>
      <c r="AW16" s="7">
        <v>454918.13</v>
      </c>
      <c r="AX16" s="7">
        <v>0</v>
      </c>
      <c r="AY16" s="7">
        <v>1500.12</v>
      </c>
      <c r="AZ16" s="7">
        <v>498.58</v>
      </c>
      <c r="BA16" s="7">
        <v>78418.92</v>
      </c>
      <c r="BB16" s="7">
        <v>0</v>
      </c>
      <c r="BC16" s="7">
        <v>227911.19</v>
      </c>
      <c r="BD16" s="7">
        <v>0</v>
      </c>
      <c r="BE16" s="7">
        <v>0</v>
      </c>
      <c r="BF16" s="7">
        <v>236.14442423999998</v>
      </c>
      <c r="BG16" s="7">
        <v>0</v>
      </c>
      <c r="BH16" s="7">
        <v>0</v>
      </c>
      <c r="BI16" s="7">
        <v>70577.039999999994</v>
      </c>
      <c r="BJ16" s="7">
        <v>33624.83</v>
      </c>
      <c r="BK16" s="7">
        <v>682829.32</v>
      </c>
    </row>
    <row r="18" spans="1:19" x14ac:dyDescent="0.25">
      <c r="A18">
        <v>51</v>
      </c>
      <c r="E18" s="8">
        <f>SUMIF(A16:A17,3,E16:E17)</f>
        <v>0</v>
      </c>
      <c r="F18" s="8">
        <f>SUMIF(A16:A17,3,F16:F17)</f>
        <v>227.91119</v>
      </c>
      <c r="G18" s="8">
        <f>SUMIF(A16:A17,3,G16:G17)</f>
        <v>454.91813000000002</v>
      </c>
      <c r="H18" s="8">
        <f>SUMIF(A16:A17,3,H16:H17)</f>
        <v>0</v>
      </c>
      <c r="I18" s="8">
        <f>SUMIF(A16:A17,3,I16:I17)</f>
        <v>682.82932000000005</v>
      </c>
      <c r="J18" s="8">
        <f>SUMIF(A16:A17,3,J16:J17)</f>
        <v>78.41892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5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577844.68999999994</v>
      </c>
      <c r="G20" s="4" t="s">
        <v>93</v>
      </c>
      <c r="H20" s="4" t="s">
        <v>94</v>
      </c>
      <c r="I20" s="4"/>
      <c r="J20" s="4"/>
      <c r="K20" s="4">
        <v>201</v>
      </c>
      <c r="L20" s="4">
        <v>1</v>
      </c>
      <c r="M20" s="4">
        <v>3</v>
      </c>
      <c r="N20" s="4" t="s">
        <v>4</v>
      </c>
      <c r="O20" s="4">
        <v>2</v>
      </c>
      <c r="P20" s="4"/>
    </row>
    <row r="21" spans="1:19" x14ac:dyDescent="0.25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497925.65</v>
      </c>
      <c r="G21" s="4" t="s">
        <v>95</v>
      </c>
      <c r="H21" s="4" t="s">
        <v>96</v>
      </c>
      <c r="I21" s="4"/>
      <c r="J21" s="4"/>
      <c r="K21" s="4">
        <v>202</v>
      </c>
      <c r="L21" s="4">
        <v>2</v>
      </c>
      <c r="M21" s="4">
        <v>3</v>
      </c>
      <c r="N21" s="4" t="s">
        <v>4</v>
      </c>
      <c r="O21" s="4">
        <v>2</v>
      </c>
      <c r="P21" s="4"/>
    </row>
    <row r="22" spans="1:19" x14ac:dyDescent="0.25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97</v>
      </c>
      <c r="H22" s="4" t="s">
        <v>98</v>
      </c>
      <c r="I22" s="4"/>
      <c r="J22" s="4"/>
      <c r="K22" s="4">
        <v>222</v>
      </c>
      <c r="L22" s="4">
        <v>3</v>
      </c>
      <c r="M22" s="4">
        <v>3</v>
      </c>
      <c r="N22" s="4" t="s">
        <v>4</v>
      </c>
      <c r="O22" s="4">
        <v>2</v>
      </c>
      <c r="P22" s="4"/>
    </row>
    <row r="23" spans="1:19" x14ac:dyDescent="0.25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497925.65</v>
      </c>
      <c r="G23" s="4" t="s">
        <v>99</v>
      </c>
      <c r="H23" s="4" t="s">
        <v>100</v>
      </c>
      <c r="I23" s="4"/>
      <c r="J23" s="4"/>
      <c r="K23" s="4">
        <v>225</v>
      </c>
      <c r="L23" s="4">
        <v>4</v>
      </c>
      <c r="M23" s="4">
        <v>3</v>
      </c>
      <c r="N23" s="4" t="s">
        <v>4</v>
      </c>
      <c r="O23" s="4">
        <v>2</v>
      </c>
      <c r="P23" s="4"/>
    </row>
    <row r="24" spans="1:19" x14ac:dyDescent="0.25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43007.519999999997</v>
      </c>
      <c r="G24" s="4" t="s">
        <v>101</v>
      </c>
      <c r="H24" s="4" t="s">
        <v>102</v>
      </c>
      <c r="I24" s="4"/>
      <c r="J24" s="4"/>
      <c r="K24" s="4">
        <v>226</v>
      </c>
      <c r="L24" s="4">
        <v>5</v>
      </c>
      <c r="M24" s="4">
        <v>3</v>
      </c>
      <c r="N24" s="4" t="s">
        <v>4</v>
      </c>
      <c r="O24" s="4">
        <v>2</v>
      </c>
      <c r="P24" s="4"/>
    </row>
    <row r="25" spans="1:19" x14ac:dyDescent="0.25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103</v>
      </c>
      <c r="H25" s="4" t="s">
        <v>104</v>
      </c>
      <c r="I25" s="4"/>
      <c r="J25" s="4"/>
      <c r="K25" s="4">
        <v>227</v>
      </c>
      <c r="L25" s="4">
        <v>6</v>
      </c>
      <c r="M25" s="4">
        <v>3</v>
      </c>
      <c r="N25" s="4" t="s">
        <v>4</v>
      </c>
      <c r="O25" s="4">
        <v>2</v>
      </c>
      <c r="P25" s="4"/>
    </row>
    <row r="26" spans="1:19" x14ac:dyDescent="0.25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43007.519999999997</v>
      </c>
      <c r="G26" s="4" t="s">
        <v>105</v>
      </c>
      <c r="H26" s="4" t="s">
        <v>106</v>
      </c>
      <c r="I26" s="4"/>
      <c r="J26" s="4"/>
      <c r="K26" s="4">
        <v>228</v>
      </c>
      <c r="L26" s="4">
        <v>7</v>
      </c>
      <c r="M26" s="4">
        <v>3</v>
      </c>
      <c r="N26" s="4" t="s">
        <v>4</v>
      </c>
      <c r="O26" s="4">
        <v>2</v>
      </c>
      <c r="P26" s="4"/>
    </row>
    <row r="27" spans="1:19" x14ac:dyDescent="0.25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454918.13</v>
      </c>
      <c r="G27" s="4" t="s">
        <v>107</v>
      </c>
      <c r="H27" s="4" t="s">
        <v>108</v>
      </c>
      <c r="I27" s="4"/>
      <c r="J27" s="4"/>
      <c r="K27" s="4">
        <v>216</v>
      </c>
      <c r="L27" s="4">
        <v>8</v>
      </c>
      <c r="M27" s="4">
        <v>3</v>
      </c>
      <c r="N27" s="4" t="s">
        <v>4</v>
      </c>
      <c r="O27" s="4">
        <v>2</v>
      </c>
      <c r="P27" s="4"/>
    </row>
    <row r="28" spans="1:19" x14ac:dyDescent="0.25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109</v>
      </c>
      <c r="H28" s="4" t="s">
        <v>110</v>
      </c>
      <c r="I28" s="4"/>
      <c r="J28" s="4"/>
      <c r="K28" s="4">
        <v>223</v>
      </c>
      <c r="L28" s="4">
        <v>9</v>
      </c>
      <c r="M28" s="4">
        <v>3</v>
      </c>
      <c r="N28" s="4" t="s">
        <v>4</v>
      </c>
      <c r="O28" s="4">
        <v>2</v>
      </c>
      <c r="P28" s="4"/>
    </row>
    <row r="29" spans="1:19" x14ac:dyDescent="0.25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454918.13</v>
      </c>
      <c r="G29" s="4" t="s">
        <v>111</v>
      </c>
      <c r="H29" s="4" t="s">
        <v>112</v>
      </c>
      <c r="I29" s="4"/>
      <c r="J29" s="4"/>
      <c r="K29" s="4">
        <v>229</v>
      </c>
      <c r="L29" s="4">
        <v>10</v>
      </c>
      <c r="M29" s="4">
        <v>3</v>
      </c>
      <c r="N29" s="4" t="s">
        <v>4</v>
      </c>
      <c r="O29" s="4">
        <v>2</v>
      </c>
      <c r="P29" s="4"/>
    </row>
    <row r="30" spans="1:19" x14ac:dyDescent="0.25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1500.12</v>
      </c>
      <c r="G30" s="4" t="s">
        <v>113</v>
      </c>
      <c r="H30" s="4" t="s">
        <v>114</v>
      </c>
      <c r="I30" s="4"/>
      <c r="J30" s="4"/>
      <c r="K30" s="4">
        <v>203</v>
      </c>
      <c r="L30" s="4">
        <v>11</v>
      </c>
      <c r="M30" s="4">
        <v>3</v>
      </c>
      <c r="N30" s="4" t="s">
        <v>4</v>
      </c>
      <c r="O30" s="4">
        <v>2</v>
      </c>
      <c r="P30" s="4"/>
    </row>
    <row r="31" spans="1:19" x14ac:dyDescent="0.25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115</v>
      </c>
      <c r="H31" s="4" t="s">
        <v>116</v>
      </c>
      <c r="I31" s="4"/>
      <c r="J31" s="4"/>
      <c r="K31" s="4">
        <v>231</v>
      </c>
      <c r="L31" s="4">
        <v>12</v>
      </c>
      <c r="M31" s="4">
        <v>3</v>
      </c>
      <c r="N31" s="4" t="s">
        <v>4</v>
      </c>
      <c r="O31" s="4">
        <v>2</v>
      </c>
      <c r="P31" s="4"/>
    </row>
    <row r="32" spans="1:19" x14ac:dyDescent="0.25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498.58</v>
      </c>
      <c r="G32" s="4" t="s">
        <v>117</v>
      </c>
      <c r="H32" s="4" t="s">
        <v>118</v>
      </c>
      <c r="I32" s="4"/>
      <c r="J32" s="4"/>
      <c r="K32" s="4">
        <v>204</v>
      </c>
      <c r="L32" s="4">
        <v>13</v>
      </c>
      <c r="M32" s="4">
        <v>3</v>
      </c>
      <c r="N32" s="4" t="s">
        <v>4</v>
      </c>
      <c r="O32" s="4">
        <v>2</v>
      </c>
      <c r="P32" s="4"/>
    </row>
    <row r="33" spans="1:16" x14ac:dyDescent="0.25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78418.92</v>
      </c>
      <c r="G33" s="4" t="s">
        <v>119</v>
      </c>
      <c r="H33" s="4" t="s">
        <v>120</v>
      </c>
      <c r="I33" s="4"/>
      <c r="J33" s="4"/>
      <c r="K33" s="4">
        <v>205</v>
      </c>
      <c r="L33" s="4">
        <v>14</v>
      </c>
      <c r="M33" s="4">
        <v>3</v>
      </c>
      <c r="N33" s="4" t="s">
        <v>4</v>
      </c>
      <c r="O33" s="4">
        <v>2</v>
      </c>
      <c r="P33" s="4"/>
    </row>
    <row r="34" spans="1:16" x14ac:dyDescent="0.25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121</v>
      </c>
      <c r="H34" s="4" t="s">
        <v>122</v>
      </c>
      <c r="I34" s="4"/>
      <c r="J34" s="4"/>
      <c r="K34" s="4">
        <v>232</v>
      </c>
      <c r="L34" s="4">
        <v>15</v>
      </c>
      <c r="M34" s="4">
        <v>3</v>
      </c>
      <c r="N34" s="4" t="s">
        <v>4</v>
      </c>
      <c r="O34" s="4">
        <v>2</v>
      </c>
      <c r="P34" s="4"/>
    </row>
    <row r="35" spans="1:16" x14ac:dyDescent="0.25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0</v>
      </c>
      <c r="G35" s="4" t="s">
        <v>123</v>
      </c>
      <c r="H35" s="4" t="s">
        <v>124</v>
      </c>
      <c r="I35" s="4"/>
      <c r="J35" s="4"/>
      <c r="K35" s="4">
        <v>214</v>
      </c>
      <c r="L35" s="4">
        <v>16</v>
      </c>
      <c r="M35" s="4">
        <v>3</v>
      </c>
      <c r="N35" s="4" t="s">
        <v>4</v>
      </c>
      <c r="O35" s="4">
        <v>2</v>
      </c>
      <c r="P35" s="4"/>
    </row>
    <row r="36" spans="1:16" x14ac:dyDescent="0.25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227911.19</v>
      </c>
      <c r="G36" s="4" t="s">
        <v>125</v>
      </c>
      <c r="H36" s="4" t="s">
        <v>126</v>
      </c>
      <c r="I36" s="4"/>
      <c r="J36" s="4"/>
      <c r="K36" s="4">
        <v>215</v>
      </c>
      <c r="L36" s="4">
        <v>17</v>
      </c>
      <c r="M36" s="4">
        <v>3</v>
      </c>
      <c r="N36" s="4" t="s">
        <v>4</v>
      </c>
      <c r="O36" s="4">
        <v>2</v>
      </c>
      <c r="P36" s="4"/>
    </row>
    <row r="37" spans="1:16" x14ac:dyDescent="0.25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127</v>
      </c>
      <c r="H37" s="4" t="s">
        <v>128</v>
      </c>
      <c r="I37" s="4"/>
      <c r="J37" s="4"/>
      <c r="K37" s="4">
        <v>217</v>
      </c>
      <c r="L37" s="4">
        <v>18</v>
      </c>
      <c r="M37" s="4">
        <v>3</v>
      </c>
      <c r="N37" s="4" t="s">
        <v>4</v>
      </c>
      <c r="O37" s="4">
        <v>2</v>
      </c>
      <c r="P37" s="4"/>
    </row>
    <row r="38" spans="1:16" x14ac:dyDescent="0.25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129</v>
      </c>
      <c r="H38" s="4" t="s">
        <v>130</v>
      </c>
      <c r="I38" s="4"/>
      <c r="J38" s="4"/>
      <c r="K38" s="4">
        <v>230</v>
      </c>
      <c r="L38" s="4">
        <v>19</v>
      </c>
      <c r="M38" s="4">
        <v>3</v>
      </c>
      <c r="N38" s="4" t="s">
        <v>4</v>
      </c>
      <c r="O38" s="4">
        <v>2</v>
      </c>
      <c r="P38" s="4"/>
    </row>
    <row r="39" spans="1:16" x14ac:dyDescent="0.25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131</v>
      </c>
      <c r="H39" s="4" t="s">
        <v>132</v>
      </c>
      <c r="I39" s="4"/>
      <c r="J39" s="4"/>
      <c r="K39" s="4">
        <v>206</v>
      </c>
      <c r="L39" s="4">
        <v>20</v>
      </c>
      <c r="M39" s="4">
        <v>3</v>
      </c>
      <c r="N39" s="4" t="s">
        <v>4</v>
      </c>
      <c r="O39" s="4">
        <v>2</v>
      </c>
      <c r="P39" s="4"/>
    </row>
    <row r="40" spans="1:16" x14ac:dyDescent="0.25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236.14442423999998</v>
      </c>
      <c r="G40" s="4" t="s">
        <v>133</v>
      </c>
      <c r="H40" s="4" t="s">
        <v>134</v>
      </c>
      <c r="I40" s="4"/>
      <c r="J40" s="4"/>
      <c r="K40" s="4">
        <v>207</v>
      </c>
      <c r="L40" s="4">
        <v>21</v>
      </c>
      <c r="M40" s="4">
        <v>3</v>
      </c>
      <c r="N40" s="4" t="s">
        <v>4</v>
      </c>
      <c r="O40" s="4">
        <v>-1</v>
      </c>
      <c r="P40" s="4"/>
    </row>
    <row r="41" spans="1:16" x14ac:dyDescent="0.25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135</v>
      </c>
      <c r="H41" s="4" t="s">
        <v>136</v>
      </c>
      <c r="I41" s="4"/>
      <c r="J41" s="4"/>
      <c r="K41" s="4">
        <v>208</v>
      </c>
      <c r="L41" s="4">
        <v>22</v>
      </c>
      <c r="M41" s="4">
        <v>3</v>
      </c>
      <c r="N41" s="4" t="s">
        <v>4</v>
      </c>
      <c r="O41" s="4">
        <v>-1</v>
      </c>
      <c r="P41" s="4"/>
    </row>
    <row r="42" spans="1:16" x14ac:dyDescent="0.25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137</v>
      </c>
      <c r="H42" s="4" t="s">
        <v>138</v>
      </c>
      <c r="I42" s="4"/>
      <c r="J42" s="4"/>
      <c r="K42" s="4">
        <v>209</v>
      </c>
      <c r="L42" s="4">
        <v>23</v>
      </c>
      <c r="M42" s="4">
        <v>3</v>
      </c>
      <c r="N42" s="4" t="s">
        <v>4</v>
      </c>
      <c r="O42" s="4">
        <v>2</v>
      </c>
      <c r="P42" s="4"/>
    </row>
    <row r="43" spans="1:16" x14ac:dyDescent="0.25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139</v>
      </c>
      <c r="H43" s="4" t="s">
        <v>140</v>
      </c>
      <c r="I43" s="4"/>
      <c r="J43" s="4"/>
      <c r="K43" s="4">
        <v>233</v>
      </c>
      <c r="L43" s="4">
        <v>24</v>
      </c>
      <c r="M43" s="4">
        <v>3</v>
      </c>
      <c r="N43" s="4" t="s">
        <v>4</v>
      </c>
      <c r="O43" s="4">
        <v>2</v>
      </c>
      <c r="P43" s="4"/>
    </row>
    <row r="44" spans="1:16" x14ac:dyDescent="0.25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70577.039999999994</v>
      </c>
      <c r="G44" s="4" t="s">
        <v>141</v>
      </c>
      <c r="H44" s="4" t="s">
        <v>142</v>
      </c>
      <c r="I44" s="4"/>
      <c r="J44" s="4"/>
      <c r="K44" s="4">
        <v>210</v>
      </c>
      <c r="L44" s="4">
        <v>25</v>
      </c>
      <c r="M44" s="4">
        <v>3</v>
      </c>
      <c r="N44" s="4" t="s">
        <v>4</v>
      </c>
      <c r="O44" s="4">
        <v>2</v>
      </c>
      <c r="P44" s="4"/>
    </row>
    <row r="45" spans="1:16" x14ac:dyDescent="0.25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33624.83</v>
      </c>
      <c r="G45" s="4" t="s">
        <v>143</v>
      </c>
      <c r="H45" s="4" t="s">
        <v>144</v>
      </c>
      <c r="I45" s="4"/>
      <c r="J45" s="4"/>
      <c r="K45" s="4">
        <v>211</v>
      </c>
      <c r="L45" s="4">
        <v>26</v>
      </c>
      <c r="M45" s="4">
        <v>3</v>
      </c>
      <c r="N45" s="4" t="s">
        <v>4</v>
      </c>
      <c r="O45" s="4">
        <v>2</v>
      </c>
      <c r="P45" s="4"/>
    </row>
    <row r="46" spans="1:16" x14ac:dyDescent="0.25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682829.32</v>
      </c>
      <c r="G46" s="4" t="s">
        <v>145</v>
      </c>
      <c r="H46" s="4" t="s">
        <v>146</v>
      </c>
      <c r="I46" s="4"/>
      <c r="J46" s="4"/>
      <c r="K46" s="4">
        <v>224</v>
      </c>
      <c r="L46" s="4">
        <v>27</v>
      </c>
      <c r="M46" s="4">
        <v>3</v>
      </c>
      <c r="N46" s="4" t="s">
        <v>4</v>
      </c>
      <c r="O46" s="4">
        <v>2</v>
      </c>
      <c r="P46" s="4"/>
    </row>
    <row r="48" spans="1:16" x14ac:dyDescent="0.25">
      <c r="A48">
        <v>-1</v>
      </c>
    </row>
    <row r="51" spans="1:27" x14ac:dyDescent="0.25">
      <c r="A51" s="3">
        <v>75</v>
      </c>
      <c r="B51" s="3" t="s">
        <v>197</v>
      </c>
      <c r="C51" s="3">
        <v>2021</v>
      </c>
      <c r="D51" s="3">
        <v>0</v>
      </c>
      <c r="E51" s="3">
        <v>5</v>
      </c>
      <c r="F51" s="3"/>
      <c r="G51" s="3">
        <v>0</v>
      </c>
      <c r="H51" s="3">
        <v>2</v>
      </c>
      <c r="I51" s="3">
        <v>1</v>
      </c>
      <c r="J51" s="3">
        <v>1</v>
      </c>
      <c r="K51" s="3">
        <v>93</v>
      </c>
      <c r="L51" s="3">
        <v>64</v>
      </c>
      <c r="M51" s="3">
        <v>0</v>
      </c>
      <c r="N51" s="3">
        <v>40520239</v>
      </c>
      <c r="O51" s="3">
        <v>1</v>
      </c>
    </row>
    <row r="52" spans="1:27" x14ac:dyDescent="0.25">
      <c r="A52" s="5">
        <v>1</v>
      </c>
      <c r="B52" s="5" t="s">
        <v>198</v>
      </c>
      <c r="C52" s="5" t="s">
        <v>199</v>
      </c>
      <c r="D52" s="5">
        <v>2021</v>
      </c>
      <c r="E52" s="5">
        <v>5</v>
      </c>
      <c r="F52" s="5">
        <v>1</v>
      </c>
      <c r="G52" s="5">
        <v>1</v>
      </c>
      <c r="H52" s="5">
        <v>0</v>
      </c>
      <c r="I52" s="5">
        <v>2</v>
      </c>
      <c r="J52" s="5">
        <v>1</v>
      </c>
      <c r="K52" s="5">
        <v>1</v>
      </c>
      <c r="L52" s="5">
        <v>1</v>
      </c>
      <c r="M52" s="5">
        <v>1</v>
      </c>
      <c r="N52" s="5">
        <v>1</v>
      </c>
      <c r="O52" s="5">
        <v>1</v>
      </c>
      <c r="P52" s="5">
        <v>1</v>
      </c>
      <c r="Q52" s="5">
        <v>1</v>
      </c>
      <c r="R52" s="5" t="s">
        <v>4</v>
      </c>
      <c r="S52" s="5" t="s">
        <v>4</v>
      </c>
      <c r="T52" s="5" t="s">
        <v>4</v>
      </c>
      <c r="U52" s="5" t="s">
        <v>4</v>
      </c>
      <c r="V52" s="5" t="s">
        <v>4</v>
      </c>
      <c r="W52" s="5" t="s">
        <v>4</v>
      </c>
      <c r="X52" s="5" t="s">
        <v>4</v>
      </c>
      <c r="Y52" s="5" t="s">
        <v>4</v>
      </c>
      <c r="Z52" s="5" t="s">
        <v>4</v>
      </c>
      <c r="AA52" s="5" t="s">
        <v>200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8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07" x14ac:dyDescent="0.25">
      <c r="A1">
        <f>ROW(Source!A28)</f>
        <v>28</v>
      </c>
      <c r="B1">
        <v>40520239</v>
      </c>
      <c r="C1">
        <v>40521054</v>
      </c>
      <c r="D1">
        <v>33593307</v>
      </c>
      <c r="E1">
        <v>33593301</v>
      </c>
      <c r="F1">
        <v>1</v>
      </c>
      <c r="G1">
        <v>33593301</v>
      </c>
      <c r="H1">
        <v>1</v>
      </c>
      <c r="I1" t="s">
        <v>202</v>
      </c>
      <c r="J1" t="s">
        <v>4</v>
      </c>
      <c r="K1" t="s">
        <v>203</v>
      </c>
      <c r="L1">
        <v>1191</v>
      </c>
      <c r="N1">
        <v>1013</v>
      </c>
      <c r="O1" t="s">
        <v>204</v>
      </c>
      <c r="P1" t="s">
        <v>204</v>
      </c>
      <c r="Q1">
        <v>1</v>
      </c>
      <c r="W1">
        <v>0</v>
      </c>
      <c r="X1">
        <v>476480486</v>
      </c>
      <c r="Y1">
        <v>7.1070000000000002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4</v>
      </c>
      <c r="AT1">
        <v>5.15</v>
      </c>
      <c r="AU1" t="s">
        <v>22</v>
      </c>
      <c r="AV1">
        <v>1</v>
      </c>
      <c r="AW1">
        <v>2</v>
      </c>
      <c r="AX1">
        <v>40521056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14.214</v>
      </c>
      <c r="CY1">
        <f>AD1</f>
        <v>0</v>
      </c>
      <c r="CZ1">
        <f>AH1</f>
        <v>0</v>
      </c>
      <c r="DA1">
        <f>AL1</f>
        <v>1</v>
      </c>
      <c r="DB1">
        <f>ROUND(((ROUND(AT1*CZ1,2)*1.2)*1.15),6)</f>
        <v>0</v>
      </c>
      <c r="DC1">
        <f>ROUND(((ROUND(AT1*AG1,2)*1.2)*1.15),6)</f>
        <v>0</v>
      </c>
    </row>
    <row r="2" spans="1:107" x14ac:dyDescent="0.25">
      <c r="A2">
        <f>ROW(Source!A29)</f>
        <v>29</v>
      </c>
      <c r="B2">
        <v>40520239</v>
      </c>
      <c r="C2">
        <v>40521057</v>
      </c>
      <c r="D2">
        <v>33593307</v>
      </c>
      <c r="E2">
        <v>33593301</v>
      </c>
      <c r="F2">
        <v>1</v>
      </c>
      <c r="G2">
        <v>33593301</v>
      </c>
      <c r="H2">
        <v>1</v>
      </c>
      <c r="I2" t="s">
        <v>202</v>
      </c>
      <c r="J2" t="s">
        <v>4</v>
      </c>
      <c r="K2" t="s">
        <v>203</v>
      </c>
      <c r="L2">
        <v>1191</v>
      </c>
      <c r="N2">
        <v>1013</v>
      </c>
      <c r="O2" t="s">
        <v>204</v>
      </c>
      <c r="P2" t="s">
        <v>204</v>
      </c>
      <c r="Q2">
        <v>1</v>
      </c>
      <c r="W2">
        <v>0</v>
      </c>
      <c r="X2">
        <v>476480486</v>
      </c>
      <c r="Y2">
        <v>2.9669999999999992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4</v>
      </c>
      <c r="AT2">
        <v>2.15</v>
      </c>
      <c r="AU2" t="s">
        <v>22</v>
      </c>
      <c r="AV2">
        <v>1</v>
      </c>
      <c r="AW2">
        <v>2</v>
      </c>
      <c r="AX2">
        <v>40521059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Y2*Source!I29</f>
        <v>17.801999999999996</v>
      </c>
      <c r="CY2">
        <f>AD2</f>
        <v>0</v>
      </c>
      <c r="CZ2">
        <f>AH2</f>
        <v>0</v>
      </c>
      <c r="DA2">
        <f>AL2</f>
        <v>1</v>
      </c>
      <c r="DB2">
        <f>ROUND(((ROUND(AT2*CZ2,2)*1.2)*1.15),6)</f>
        <v>0</v>
      </c>
      <c r="DC2">
        <f>ROUND(((ROUND(AT2*AG2,2)*1.2)*1.15),6)</f>
        <v>0</v>
      </c>
    </row>
    <row r="3" spans="1:107" x14ac:dyDescent="0.25">
      <c r="A3">
        <f>ROW(Source!A30)</f>
        <v>30</v>
      </c>
      <c r="B3">
        <v>40520239</v>
      </c>
      <c r="C3">
        <v>40522333</v>
      </c>
      <c r="D3">
        <v>33593307</v>
      </c>
      <c r="E3">
        <v>33593301</v>
      </c>
      <c r="F3">
        <v>1</v>
      </c>
      <c r="G3">
        <v>33593301</v>
      </c>
      <c r="H3">
        <v>1</v>
      </c>
      <c r="I3" t="s">
        <v>202</v>
      </c>
      <c r="J3" t="s">
        <v>4</v>
      </c>
      <c r="K3" t="s">
        <v>203</v>
      </c>
      <c r="L3">
        <v>1191</v>
      </c>
      <c r="N3">
        <v>1013</v>
      </c>
      <c r="O3" t="s">
        <v>204</v>
      </c>
      <c r="P3" t="s">
        <v>204</v>
      </c>
      <c r="Q3">
        <v>1</v>
      </c>
      <c r="W3">
        <v>0</v>
      </c>
      <c r="X3">
        <v>476480486</v>
      </c>
      <c r="Y3">
        <v>4.968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4</v>
      </c>
      <c r="AT3">
        <v>3.6</v>
      </c>
      <c r="AU3" t="s">
        <v>22</v>
      </c>
      <c r="AV3">
        <v>1</v>
      </c>
      <c r="AW3">
        <v>2</v>
      </c>
      <c r="AX3">
        <v>40522334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4.968</v>
      </c>
      <c r="CY3">
        <f>AD3</f>
        <v>0</v>
      </c>
      <c r="CZ3">
        <f>AH3</f>
        <v>0</v>
      </c>
      <c r="DA3">
        <f>AL3</f>
        <v>1</v>
      </c>
      <c r="DB3">
        <f>ROUND(((ROUND(AT3*CZ3,2)*1.2)*1.15),6)</f>
        <v>0</v>
      </c>
      <c r="DC3">
        <f>ROUND(((ROUND(AT3*AG3,2)*1.2)*1.15),6)</f>
        <v>0</v>
      </c>
    </row>
    <row r="4" spans="1:107" x14ac:dyDescent="0.25">
      <c r="A4">
        <f>ROW(Source!A31)</f>
        <v>31</v>
      </c>
      <c r="B4">
        <v>40520239</v>
      </c>
      <c r="C4">
        <v>40522335</v>
      </c>
      <c r="D4">
        <v>33593307</v>
      </c>
      <c r="E4">
        <v>33593301</v>
      </c>
      <c r="F4">
        <v>1</v>
      </c>
      <c r="G4">
        <v>33593301</v>
      </c>
      <c r="H4">
        <v>1</v>
      </c>
      <c r="I4" t="s">
        <v>202</v>
      </c>
      <c r="J4" t="s">
        <v>4</v>
      </c>
      <c r="K4" t="s">
        <v>203</v>
      </c>
      <c r="L4">
        <v>1191</v>
      </c>
      <c r="N4">
        <v>1013</v>
      </c>
      <c r="O4" t="s">
        <v>204</v>
      </c>
      <c r="P4" t="s">
        <v>204</v>
      </c>
      <c r="Q4">
        <v>1</v>
      </c>
      <c r="W4">
        <v>0</v>
      </c>
      <c r="X4">
        <v>476480486</v>
      </c>
      <c r="Y4">
        <v>1.4213999999999998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4</v>
      </c>
      <c r="AT4">
        <v>1.03</v>
      </c>
      <c r="AU4" t="s">
        <v>22</v>
      </c>
      <c r="AV4">
        <v>1</v>
      </c>
      <c r="AW4">
        <v>2</v>
      </c>
      <c r="AX4">
        <v>40522338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Y4*Source!I31</f>
        <v>1.4213999999999998</v>
      </c>
      <c r="CY4">
        <f>AD4</f>
        <v>0</v>
      </c>
      <c r="CZ4">
        <f>AH4</f>
        <v>0</v>
      </c>
      <c r="DA4">
        <f>AL4</f>
        <v>1</v>
      </c>
      <c r="DB4">
        <f>ROUND(((ROUND(AT4*CZ4,2)*1.2)*1.15),6)</f>
        <v>0</v>
      </c>
      <c r="DC4">
        <f>ROUND(((ROUND(AT4*AG4,2)*1.2)*1.15),6)</f>
        <v>0</v>
      </c>
    </row>
    <row r="5" spans="1:107" x14ac:dyDescent="0.25">
      <c r="A5">
        <f>ROW(Source!A32)</f>
        <v>32</v>
      </c>
      <c r="B5">
        <v>40520239</v>
      </c>
      <c r="C5">
        <v>40522416</v>
      </c>
      <c r="D5">
        <v>33593307</v>
      </c>
      <c r="E5">
        <v>33593301</v>
      </c>
      <c r="F5">
        <v>1</v>
      </c>
      <c r="G5">
        <v>33593301</v>
      </c>
      <c r="H5">
        <v>1</v>
      </c>
      <c r="I5" t="s">
        <v>202</v>
      </c>
      <c r="J5" t="s">
        <v>4</v>
      </c>
      <c r="K5" t="s">
        <v>203</v>
      </c>
      <c r="L5">
        <v>1191</v>
      </c>
      <c r="N5">
        <v>1013</v>
      </c>
      <c r="O5" t="s">
        <v>204</v>
      </c>
      <c r="P5" t="s">
        <v>204</v>
      </c>
      <c r="Q5">
        <v>1</v>
      </c>
      <c r="W5">
        <v>0</v>
      </c>
      <c r="X5">
        <v>476480486</v>
      </c>
      <c r="Y5">
        <v>80.950799999999987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4</v>
      </c>
      <c r="AT5">
        <v>58.66</v>
      </c>
      <c r="AU5" t="s">
        <v>22</v>
      </c>
      <c r="AV5">
        <v>1</v>
      </c>
      <c r="AW5">
        <v>2</v>
      </c>
      <c r="AX5">
        <v>40523446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Y5*Source!I32</f>
        <v>161.90159999999997</v>
      </c>
      <c r="CY5">
        <f>AD5</f>
        <v>0</v>
      </c>
      <c r="CZ5">
        <f>AH5</f>
        <v>0</v>
      </c>
      <c r="DA5">
        <f>AL5</f>
        <v>1</v>
      </c>
      <c r="DB5">
        <f>ROUND(((ROUND(AT5*CZ5,2)*1.2)*1.15),6)</f>
        <v>0</v>
      </c>
      <c r="DC5">
        <f>ROUND(((ROUND(AT5*AG5,2)*1.2)*1.15),6)</f>
        <v>0</v>
      </c>
    </row>
    <row r="6" spans="1:107" x14ac:dyDescent="0.25">
      <c r="A6">
        <f>ROW(Source!A32)</f>
        <v>32</v>
      </c>
      <c r="B6">
        <v>40520239</v>
      </c>
      <c r="C6">
        <v>40522416</v>
      </c>
      <c r="D6">
        <v>33653707</v>
      </c>
      <c r="E6">
        <v>1</v>
      </c>
      <c r="F6">
        <v>1</v>
      </c>
      <c r="G6">
        <v>33593301</v>
      </c>
      <c r="H6">
        <v>3</v>
      </c>
      <c r="I6" t="s">
        <v>51</v>
      </c>
      <c r="J6" t="s">
        <v>54</v>
      </c>
      <c r="K6" t="s">
        <v>52</v>
      </c>
      <c r="L6">
        <v>1301</v>
      </c>
      <c r="N6">
        <v>1003</v>
      </c>
      <c r="O6" t="s">
        <v>53</v>
      </c>
      <c r="P6" t="s">
        <v>53</v>
      </c>
      <c r="Q6">
        <v>1</v>
      </c>
      <c r="W6">
        <v>0</v>
      </c>
      <c r="X6">
        <v>-2061019636</v>
      </c>
      <c r="Y6">
        <v>102</v>
      </c>
      <c r="AA6">
        <v>7.4</v>
      </c>
      <c r="AB6">
        <v>0</v>
      </c>
      <c r="AC6">
        <v>0</v>
      </c>
      <c r="AD6">
        <v>0</v>
      </c>
      <c r="AE6">
        <v>3.35</v>
      </c>
      <c r="AF6">
        <v>0</v>
      </c>
      <c r="AG6">
        <v>0</v>
      </c>
      <c r="AH6">
        <v>0</v>
      </c>
      <c r="AI6">
        <v>2.21</v>
      </c>
      <c r="AJ6">
        <v>1</v>
      </c>
      <c r="AK6">
        <v>1</v>
      </c>
      <c r="AL6">
        <v>1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4</v>
      </c>
      <c r="AT6">
        <v>102</v>
      </c>
      <c r="AU6" t="s">
        <v>4</v>
      </c>
      <c r="AV6">
        <v>0</v>
      </c>
      <c r="AW6">
        <v>1</v>
      </c>
      <c r="AX6">
        <v>-1</v>
      </c>
      <c r="AY6">
        <v>0</v>
      </c>
      <c r="AZ6">
        <v>0</v>
      </c>
      <c r="BA6" t="s">
        <v>4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Y6*Source!I32</f>
        <v>204</v>
      </c>
      <c r="CY6">
        <f>AA6</f>
        <v>7.4</v>
      </c>
      <c r="CZ6">
        <f>AE6</f>
        <v>3.35</v>
      </c>
      <c r="DA6">
        <f>AI6</f>
        <v>2.21</v>
      </c>
      <c r="DB6">
        <f>ROUND(ROUND(AT6*CZ6,2),6)</f>
        <v>341.7</v>
      </c>
      <c r="DC6">
        <f>ROUND(ROUND(AT6*AG6,2),6)</f>
        <v>0</v>
      </c>
    </row>
    <row r="7" spans="1:107" x14ac:dyDescent="0.25">
      <c r="A7">
        <f>ROW(Source!A34)</f>
        <v>34</v>
      </c>
      <c r="B7">
        <v>40520239</v>
      </c>
      <c r="C7">
        <v>40522424</v>
      </c>
      <c r="D7">
        <v>33593307</v>
      </c>
      <c r="E7">
        <v>33593301</v>
      </c>
      <c r="F7">
        <v>1</v>
      </c>
      <c r="G7">
        <v>33593301</v>
      </c>
      <c r="H7">
        <v>1</v>
      </c>
      <c r="I7" t="s">
        <v>202</v>
      </c>
      <c r="J7" t="s">
        <v>4</v>
      </c>
      <c r="K7" t="s">
        <v>203</v>
      </c>
      <c r="L7">
        <v>1191</v>
      </c>
      <c r="N7">
        <v>1013</v>
      </c>
      <c r="O7" t="s">
        <v>204</v>
      </c>
      <c r="P7" t="s">
        <v>204</v>
      </c>
      <c r="Q7">
        <v>1</v>
      </c>
      <c r="W7">
        <v>0</v>
      </c>
      <c r="X7">
        <v>476480486</v>
      </c>
      <c r="Y7">
        <v>9.949799999999998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4</v>
      </c>
      <c r="AT7">
        <v>7.21</v>
      </c>
      <c r="AU7" t="s">
        <v>22</v>
      </c>
      <c r="AV7">
        <v>1</v>
      </c>
      <c r="AW7">
        <v>2</v>
      </c>
      <c r="AX7">
        <v>40522425</v>
      </c>
      <c r="AY7">
        <v>1</v>
      </c>
      <c r="AZ7">
        <v>0</v>
      </c>
      <c r="BA7">
        <v>8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Y7*Source!I34</f>
        <v>13.929719999999996</v>
      </c>
      <c r="CY7">
        <f>AD7</f>
        <v>0</v>
      </c>
      <c r="CZ7">
        <f>AH7</f>
        <v>0</v>
      </c>
      <c r="DA7">
        <f>AL7</f>
        <v>1</v>
      </c>
      <c r="DB7">
        <f>ROUND(((ROUND(AT7*CZ7,2)*1.2)*1.15),6)</f>
        <v>0</v>
      </c>
      <c r="DC7">
        <f>ROUND(((ROUND(AT7*AG7,2)*1.2)*1.15),6)</f>
        <v>0</v>
      </c>
    </row>
    <row r="8" spans="1:107" x14ac:dyDescent="0.25">
      <c r="A8">
        <f>ROW(Source!A38)</f>
        <v>38</v>
      </c>
      <c r="B8">
        <v>40520239</v>
      </c>
      <c r="C8">
        <v>40523300</v>
      </c>
      <c r="D8">
        <v>33593307</v>
      </c>
      <c r="E8">
        <v>33593301</v>
      </c>
      <c r="F8">
        <v>1</v>
      </c>
      <c r="G8">
        <v>33593301</v>
      </c>
      <c r="H8">
        <v>1</v>
      </c>
      <c r="I8" t="s">
        <v>202</v>
      </c>
      <c r="J8" t="s">
        <v>4</v>
      </c>
      <c r="K8" t="s">
        <v>203</v>
      </c>
      <c r="L8">
        <v>1191</v>
      </c>
      <c r="N8">
        <v>1013</v>
      </c>
      <c r="O8" t="s">
        <v>204</v>
      </c>
      <c r="P8" t="s">
        <v>204</v>
      </c>
      <c r="Q8">
        <v>1</v>
      </c>
      <c r="W8">
        <v>0</v>
      </c>
      <c r="X8">
        <v>476480486</v>
      </c>
      <c r="Y8">
        <v>55.475999999999999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4</v>
      </c>
      <c r="AT8">
        <v>40.200000000000003</v>
      </c>
      <c r="AU8" t="s">
        <v>22</v>
      </c>
      <c r="AV8">
        <v>1</v>
      </c>
      <c r="AW8">
        <v>2</v>
      </c>
      <c r="AX8">
        <v>40523301</v>
      </c>
      <c r="AY8">
        <v>1</v>
      </c>
      <c r="AZ8">
        <v>0</v>
      </c>
      <c r="BA8">
        <v>9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Y8*Source!I38</f>
        <v>11.0952</v>
      </c>
      <c r="CY8">
        <f>AD8</f>
        <v>0</v>
      </c>
      <c r="CZ8">
        <f>AH8</f>
        <v>0</v>
      </c>
      <c r="DA8">
        <f>AL8</f>
        <v>1</v>
      </c>
      <c r="DB8">
        <f>ROUND(((ROUND(AT8*CZ8,2)*1.2)*1.15),6)</f>
        <v>0</v>
      </c>
      <c r="DC8">
        <f>ROUND(((ROUND(AT8*AG8,2)*1.2)*1.15),6)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44" x14ac:dyDescent="0.25">
      <c r="A1">
        <f>ROW(Source!A28)</f>
        <v>28</v>
      </c>
      <c r="B1">
        <v>40521056</v>
      </c>
      <c r="C1">
        <v>40521054</v>
      </c>
      <c r="D1">
        <v>33593307</v>
      </c>
      <c r="E1">
        <v>33593301</v>
      </c>
      <c r="F1">
        <v>1</v>
      </c>
      <c r="G1">
        <v>33593301</v>
      </c>
      <c r="H1">
        <v>1</v>
      </c>
      <c r="I1" t="s">
        <v>202</v>
      </c>
      <c r="J1" t="s">
        <v>4</v>
      </c>
      <c r="K1" t="s">
        <v>203</v>
      </c>
      <c r="L1">
        <v>1191</v>
      </c>
      <c r="N1">
        <v>1013</v>
      </c>
      <c r="O1" t="s">
        <v>204</v>
      </c>
      <c r="P1" t="s">
        <v>204</v>
      </c>
      <c r="Q1">
        <v>1</v>
      </c>
      <c r="X1">
        <v>5.15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22</v>
      </c>
      <c r="AG1">
        <v>7.1070000000000002</v>
      </c>
      <c r="AH1">
        <v>2</v>
      </c>
      <c r="AI1">
        <v>40521055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5">
      <c r="A2">
        <f>ROW(Source!A29)</f>
        <v>29</v>
      </c>
      <c r="B2">
        <v>40521059</v>
      </c>
      <c r="C2">
        <v>40521057</v>
      </c>
      <c r="D2">
        <v>33593307</v>
      </c>
      <c r="E2">
        <v>33593301</v>
      </c>
      <c r="F2">
        <v>1</v>
      </c>
      <c r="G2">
        <v>33593301</v>
      </c>
      <c r="H2">
        <v>1</v>
      </c>
      <c r="I2" t="s">
        <v>202</v>
      </c>
      <c r="J2" t="s">
        <v>4</v>
      </c>
      <c r="K2" t="s">
        <v>203</v>
      </c>
      <c r="L2">
        <v>1191</v>
      </c>
      <c r="N2">
        <v>1013</v>
      </c>
      <c r="O2" t="s">
        <v>204</v>
      </c>
      <c r="P2" t="s">
        <v>204</v>
      </c>
      <c r="Q2">
        <v>1</v>
      </c>
      <c r="X2">
        <v>2.15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 t="s">
        <v>22</v>
      </c>
      <c r="AG2">
        <v>2.9669999999999992</v>
      </c>
      <c r="AH2">
        <v>2</v>
      </c>
      <c r="AI2">
        <v>40521058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5">
      <c r="A3">
        <f>ROW(Source!A30)</f>
        <v>30</v>
      </c>
      <c r="B3">
        <v>40522334</v>
      </c>
      <c r="C3">
        <v>40522333</v>
      </c>
      <c r="D3">
        <v>33593307</v>
      </c>
      <c r="E3">
        <v>33593301</v>
      </c>
      <c r="F3">
        <v>1</v>
      </c>
      <c r="G3">
        <v>33593301</v>
      </c>
      <c r="H3">
        <v>1</v>
      </c>
      <c r="I3" t="s">
        <v>202</v>
      </c>
      <c r="J3" t="s">
        <v>4</v>
      </c>
      <c r="K3" t="s">
        <v>203</v>
      </c>
      <c r="L3">
        <v>1191</v>
      </c>
      <c r="N3">
        <v>1013</v>
      </c>
      <c r="O3" t="s">
        <v>204</v>
      </c>
      <c r="P3" t="s">
        <v>204</v>
      </c>
      <c r="Q3">
        <v>1</v>
      </c>
      <c r="X3">
        <v>3.6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22</v>
      </c>
      <c r="AG3">
        <v>4.968</v>
      </c>
      <c r="AH3">
        <v>2</v>
      </c>
      <c r="AI3">
        <v>40522334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5">
      <c r="A4">
        <f>ROW(Source!A31)</f>
        <v>31</v>
      </c>
      <c r="B4">
        <v>40522338</v>
      </c>
      <c r="C4">
        <v>40522335</v>
      </c>
      <c r="D4">
        <v>33593307</v>
      </c>
      <c r="E4">
        <v>33593301</v>
      </c>
      <c r="F4">
        <v>1</v>
      </c>
      <c r="G4">
        <v>33593301</v>
      </c>
      <c r="H4">
        <v>1</v>
      </c>
      <c r="I4" t="s">
        <v>202</v>
      </c>
      <c r="J4" t="s">
        <v>4</v>
      </c>
      <c r="K4" t="s">
        <v>203</v>
      </c>
      <c r="L4">
        <v>1191</v>
      </c>
      <c r="N4">
        <v>1013</v>
      </c>
      <c r="O4" t="s">
        <v>204</v>
      </c>
      <c r="P4" t="s">
        <v>204</v>
      </c>
      <c r="Q4">
        <v>1</v>
      </c>
      <c r="X4">
        <v>1.03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 t="s">
        <v>22</v>
      </c>
      <c r="AG4">
        <v>1.4213999999999998</v>
      </c>
      <c r="AH4">
        <v>2</v>
      </c>
      <c r="AI4">
        <v>40522338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5">
      <c r="A5">
        <f>ROW(Source!A32)</f>
        <v>32</v>
      </c>
      <c r="B5">
        <v>40523446</v>
      </c>
      <c r="C5">
        <v>40522416</v>
      </c>
      <c r="D5">
        <v>33593307</v>
      </c>
      <c r="E5">
        <v>33593301</v>
      </c>
      <c r="F5">
        <v>1</v>
      </c>
      <c r="G5">
        <v>33593301</v>
      </c>
      <c r="H5">
        <v>1</v>
      </c>
      <c r="I5" t="s">
        <v>202</v>
      </c>
      <c r="J5" t="s">
        <v>4</v>
      </c>
      <c r="K5" t="s">
        <v>203</v>
      </c>
      <c r="L5">
        <v>1191</v>
      </c>
      <c r="N5">
        <v>1013</v>
      </c>
      <c r="O5" t="s">
        <v>204</v>
      </c>
      <c r="P5" t="s">
        <v>204</v>
      </c>
      <c r="Q5">
        <v>1</v>
      </c>
      <c r="X5">
        <v>58.66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 t="s">
        <v>22</v>
      </c>
      <c r="AG5">
        <v>80.950799999999987</v>
      </c>
      <c r="AH5">
        <v>2</v>
      </c>
      <c r="AI5">
        <v>40523446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5">
      <c r="A6">
        <f>ROW(Source!A32)</f>
        <v>32</v>
      </c>
      <c r="B6">
        <v>40523447</v>
      </c>
      <c r="C6">
        <v>40522416</v>
      </c>
      <c r="D6">
        <v>33613220</v>
      </c>
      <c r="E6">
        <v>33593301</v>
      </c>
      <c r="F6">
        <v>1</v>
      </c>
      <c r="G6">
        <v>33593301</v>
      </c>
      <c r="H6">
        <v>3</v>
      </c>
      <c r="I6" t="s">
        <v>205</v>
      </c>
      <c r="J6" t="s">
        <v>4</v>
      </c>
      <c r="K6" t="s">
        <v>206</v>
      </c>
      <c r="L6">
        <v>1301</v>
      </c>
      <c r="N6">
        <v>1003</v>
      </c>
      <c r="O6" t="s">
        <v>53</v>
      </c>
      <c r="P6" t="s">
        <v>53</v>
      </c>
      <c r="Q6">
        <v>1</v>
      </c>
      <c r="X6">
        <v>102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 t="s">
        <v>4</v>
      </c>
      <c r="AG6">
        <v>102</v>
      </c>
      <c r="AH6">
        <v>3</v>
      </c>
      <c r="AI6">
        <v>-1</v>
      </c>
      <c r="AJ6" t="s">
        <v>4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5">
      <c r="A7">
        <f>ROW(Source!A32)</f>
        <v>32</v>
      </c>
      <c r="B7">
        <v>40523448</v>
      </c>
      <c r="C7">
        <v>40522416</v>
      </c>
      <c r="D7">
        <v>33614204</v>
      </c>
      <c r="E7">
        <v>33593301</v>
      </c>
      <c r="F7">
        <v>1</v>
      </c>
      <c r="G7">
        <v>33593301</v>
      </c>
      <c r="H7">
        <v>3</v>
      </c>
      <c r="I7" t="s">
        <v>207</v>
      </c>
      <c r="J7" t="s">
        <v>4</v>
      </c>
      <c r="K7" t="s">
        <v>208</v>
      </c>
      <c r="L7">
        <v>1354</v>
      </c>
      <c r="N7">
        <v>1010</v>
      </c>
      <c r="O7" t="s">
        <v>91</v>
      </c>
      <c r="P7" t="s">
        <v>91</v>
      </c>
      <c r="Q7">
        <v>1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4</v>
      </c>
      <c r="AG7">
        <v>0</v>
      </c>
      <c r="AH7">
        <v>3</v>
      </c>
      <c r="AI7">
        <v>-1</v>
      </c>
      <c r="AJ7" t="s">
        <v>4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5">
      <c r="A8">
        <f>ROW(Source!A34)</f>
        <v>34</v>
      </c>
      <c r="B8">
        <v>40522425</v>
      </c>
      <c r="C8">
        <v>40522424</v>
      </c>
      <c r="D8">
        <v>33593307</v>
      </c>
      <c r="E8">
        <v>33593301</v>
      </c>
      <c r="F8">
        <v>1</v>
      </c>
      <c r="G8">
        <v>33593301</v>
      </c>
      <c r="H8">
        <v>1</v>
      </c>
      <c r="I8" t="s">
        <v>202</v>
      </c>
      <c r="J8" t="s">
        <v>4</v>
      </c>
      <c r="K8" t="s">
        <v>203</v>
      </c>
      <c r="L8">
        <v>1191</v>
      </c>
      <c r="N8">
        <v>1013</v>
      </c>
      <c r="O8" t="s">
        <v>204</v>
      </c>
      <c r="P8" t="s">
        <v>204</v>
      </c>
      <c r="Q8">
        <v>1</v>
      </c>
      <c r="X8">
        <v>7.21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 t="s">
        <v>22</v>
      </c>
      <c r="AG8">
        <v>9.949799999999998</v>
      </c>
      <c r="AH8">
        <v>2</v>
      </c>
      <c r="AI8">
        <v>40522425</v>
      </c>
      <c r="AJ8">
        <v>7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5">
      <c r="A9">
        <f>ROW(Source!A38)</f>
        <v>38</v>
      </c>
      <c r="B9">
        <v>40523301</v>
      </c>
      <c r="C9">
        <v>40523300</v>
      </c>
      <c r="D9">
        <v>33593307</v>
      </c>
      <c r="E9">
        <v>33593301</v>
      </c>
      <c r="F9">
        <v>1</v>
      </c>
      <c r="G9">
        <v>33593301</v>
      </c>
      <c r="H9">
        <v>1</v>
      </c>
      <c r="I9" t="s">
        <v>202</v>
      </c>
      <c r="J9" t="s">
        <v>4</v>
      </c>
      <c r="K9" t="s">
        <v>203</v>
      </c>
      <c r="L9">
        <v>1191</v>
      </c>
      <c r="N9">
        <v>1013</v>
      </c>
      <c r="O9" t="s">
        <v>204</v>
      </c>
      <c r="P9" t="s">
        <v>204</v>
      </c>
      <c r="Q9">
        <v>1</v>
      </c>
      <c r="X9">
        <v>40.200000000000003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22</v>
      </c>
      <c r="AG9">
        <v>55.475999999999999</v>
      </c>
      <c r="AH9">
        <v>2</v>
      </c>
      <c r="AI9">
        <v>40523301</v>
      </c>
      <c r="AJ9">
        <v>8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по ТСН-2001</vt:lpstr>
      <vt:lpstr>Source</vt:lpstr>
      <vt:lpstr>SourceObSm</vt:lpstr>
      <vt:lpstr>SmtRes</vt:lpstr>
      <vt:lpstr>EtalonRes</vt:lpstr>
      <vt:lpstr>'Смета по ТСН-2001'!Заголовки_для_печати</vt:lpstr>
      <vt:lpstr>'Смета по ТСН-2001'!Область_печати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Пискунова Наталья Вячеславовна</cp:lastModifiedBy>
  <dcterms:created xsi:type="dcterms:W3CDTF">2023-03-22T06:18:18Z</dcterms:created>
  <dcterms:modified xsi:type="dcterms:W3CDTF">2023-03-22T06:48:45Z</dcterms:modified>
</cp:coreProperties>
</file>